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CN_B21\Divulga_CNA\Portal\Quadros A.1.1.1 - PIB - Óptica da Despesa - Consumo Privado\"/>
    </mc:Choice>
  </mc:AlternateContent>
  <xr:revisionPtr revIDLastSave="0" documentId="13_ncr:1_{BDA7D2E2-A976-4DE9-A773-0D12FEF495B4}" xr6:coauthVersionLast="47" xr6:coauthVersionMax="47" xr10:uidLastSave="{00000000-0000-0000-0000-000000000000}"/>
  <bookViews>
    <workbookView xWindow="-110" yWindow="-110" windowWidth="19420" windowHeight="10300" tabRatio="686" xr2:uid="{00000000-000D-0000-FFFF-FFFF00000000}"/>
  </bookViews>
  <sheets>
    <sheet name="Quadro A.1.1.1.1" sheetId="7" r:id="rId1"/>
    <sheet name="Metainfo" sheetId="12" r:id="rId2"/>
    <sheet name="COICOP" sheetId="1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7" l="1"/>
  <c r="G41" i="7"/>
  <c r="F41" i="7"/>
  <c r="E41" i="7"/>
  <c r="D41" i="7"/>
  <c r="B41" i="7"/>
  <c r="G40" i="7" l="1"/>
  <c r="F40" i="7"/>
  <c r="D40" i="7"/>
  <c r="C40" i="7"/>
  <c r="BT38" i="7" l="1"/>
  <c r="BS38" i="7"/>
  <c r="BR38" i="7"/>
  <c r="BQ38" i="7"/>
  <c r="BO38" i="7"/>
  <c r="BN38" i="7"/>
  <c r="BL38" i="7"/>
  <c r="BK38" i="7"/>
  <c r="BI38" i="7"/>
  <c r="BH38" i="7"/>
  <c r="BG38" i="7"/>
  <c r="BF38" i="7"/>
  <c r="BE38" i="7"/>
  <c r="BC38" i="7"/>
  <c r="BB38" i="7"/>
  <c r="BA38" i="7"/>
  <c r="AZ38" i="7"/>
  <c r="AY38" i="7"/>
  <c r="AX38" i="7"/>
  <c r="AW38" i="7"/>
  <c r="AV38" i="7"/>
  <c r="AT38" i="7"/>
  <c r="AS38" i="7"/>
  <c r="AR38" i="7"/>
  <c r="AP38" i="7"/>
  <c r="AO38" i="7"/>
  <c r="AN38" i="7"/>
  <c r="AM38" i="7"/>
  <c r="AK38" i="7"/>
  <c r="AJ38" i="7"/>
  <c r="AI38" i="7"/>
  <c r="AH38" i="7"/>
  <c r="AF38" i="7"/>
  <c r="AE38" i="7"/>
  <c r="AD38" i="7"/>
  <c r="AC38" i="7"/>
  <c r="AB38" i="7"/>
  <c r="AA38" i="7"/>
  <c r="Y38" i="7"/>
  <c r="X38" i="7"/>
  <c r="W38" i="7"/>
  <c r="V38" i="7"/>
  <c r="U38" i="7"/>
  <c r="S38" i="7"/>
  <c r="R38" i="7"/>
  <c r="P38" i="7"/>
  <c r="O38" i="7"/>
  <c r="N38" i="7"/>
  <c r="M38" i="7"/>
  <c r="K38" i="7"/>
  <c r="J38" i="7"/>
  <c r="I38" i="7"/>
  <c r="BM38" i="7" l="1"/>
  <c r="AL38" i="7"/>
  <c r="AG38" i="7"/>
  <c r="Q38" i="7"/>
  <c r="BP38" i="7"/>
  <c r="BJ38" i="7"/>
  <c r="G37" i="7"/>
  <c r="F37" i="7"/>
  <c r="G36" i="7"/>
  <c r="F36" i="7"/>
  <c r="G35" i="7"/>
  <c r="F35" i="7"/>
  <c r="G34" i="7"/>
  <c r="F34" i="7"/>
  <c r="G33" i="7"/>
  <c r="F33" i="7"/>
  <c r="AK37" i="7"/>
  <c r="N37" i="7"/>
  <c r="K37" i="7"/>
  <c r="AK36" i="7"/>
  <c r="N36" i="7"/>
  <c r="K36" i="7"/>
  <c r="AK35" i="7"/>
  <c r="N35" i="7"/>
  <c r="K35" i="7"/>
  <c r="AK34" i="7"/>
  <c r="N34" i="7"/>
  <c r="K34" i="7"/>
  <c r="AK33" i="7"/>
  <c r="N33" i="7"/>
  <c r="K33" i="7"/>
  <c r="AU38" i="7" l="1"/>
  <c r="Z38" i="7"/>
  <c r="L38" i="7"/>
  <c r="T38" i="7"/>
  <c r="AQ38" i="7"/>
  <c r="BD38" i="7"/>
  <c r="J34" i="7"/>
  <c r="J37" i="7"/>
  <c r="M35" i="7"/>
  <c r="O33" i="7"/>
  <c r="O36" i="7"/>
  <c r="P34" i="7"/>
  <c r="P37" i="7"/>
  <c r="R35" i="7"/>
  <c r="S33" i="7"/>
  <c r="S36" i="7"/>
  <c r="U34" i="7"/>
  <c r="U37" i="7"/>
  <c r="V35" i="7"/>
  <c r="W33" i="7"/>
  <c r="W36" i="7"/>
  <c r="X34" i="7"/>
  <c r="X37" i="7"/>
  <c r="Y35" i="7"/>
  <c r="AA33" i="7"/>
  <c r="AA36" i="7"/>
  <c r="AB34" i="7"/>
  <c r="AB37" i="7"/>
  <c r="AC35" i="7"/>
  <c r="AD33" i="7"/>
  <c r="AD36" i="7"/>
  <c r="J35" i="7"/>
  <c r="M33" i="7"/>
  <c r="M36" i="7"/>
  <c r="O34" i="7"/>
  <c r="O37" i="7"/>
  <c r="P35" i="7"/>
  <c r="R33" i="7"/>
  <c r="R36" i="7"/>
  <c r="S34" i="7"/>
  <c r="S37" i="7"/>
  <c r="U35" i="7"/>
  <c r="V33" i="7"/>
  <c r="V36" i="7"/>
  <c r="W34" i="7"/>
  <c r="W37" i="7"/>
  <c r="X35" i="7"/>
  <c r="Y33" i="7"/>
  <c r="Y36" i="7"/>
  <c r="AA34" i="7"/>
  <c r="AA37" i="7"/>
  <c r="AB35" i="7"/>
  <c r="AC33" i="7"/>
  <c r="AC36" i="7"/>
  <c r="AD34" i="7"/>
  <c r="AD37" i="7"/>
  <c r="AE35" i="7"/>
  <c r="AF33" i="7"/>
  <c r="AF36" i="7"/>
  <c r="AH34" i="7"/>
  <c r="AH37" i="7"/>
  <c r="AI35" i="7"/>
  <c r="AJ33" i="7"/>
  <c r="AJ36" i="7"/>
  <c r="AM34" i="7"/>
  <c r="J33" i="7"/>
  <c r="M37" i="7"/>
  <c r="P36" i="7"/>
  <c r="S35" i="7"/>
  <c r="V34" i="7"/>
  <c r="X33" i="7"/>
  <c r="Y37" i="7"/>
  <c r="AB36" i="7"/>
  <c r="AD35" i="7"/>
  <c r="AE36" i="7"/>
  <c r="AF35" i="7"/>
  <c r="AI36" i="7"/>
  <c r="AM33" i="7"/>
  <c r="I35" i="7"/>
  <c r="BK33" i="7"/>
  <c r="BN35" i="7"/>
  <c r="BO36" i="7"/>
  <c r="BQ37" i="7"/>
  <c r="AE37" i="7"/>
  <c r="AI33" i="7"/>
  <c r="AJ35" i="7"/>
  <c r="AM37" i="7"/>
  <c r="AN35" i="7"/>
  <c r="AO33" i="7"/>
  <c r="AO36" i="7"/>
  <c r="AP34" i="7"/>
  <c r="AP37" i="7"/>
  <c r="AR35" i="7"/>
  <c r="AS33" i="7"/>
  <c r="AS36" i="7"/>
  <c r="AT34" i="7"/>
  <c r="AT37" i="7"/>
  <c r="AV35" i="7"/>
  <c r="AW33" i="7"/>
  <c r="AW36" i="7"/>
  <c r="AX34" i="7"/>
  <c r="AX37" i="7"/>
  <c r="AY35" i="7"/>
  <c r="AZ33" i="7"/>
  <c r="AZ36" i="7"/>
  <c r="BA34" i="7"/>
  <c r="BA37" i="7"/>
  <c r="BB35" i="7"/>
  <c r="BC33" i="7"/>
  <c r="BC36" i="7"/>
  <c r="BE34" i="7"/>
  <c r="BE37" i="7"/>
  <c r="BF35" i="7"/>
  <c r="BG33" i="7"/>
  <c r="BG36" i="7"/>
  <c r="BH34" i="7"/>
  <c r="BH37" i="7"/>
  <c r="BI35" i="7"/>
  <c r="BK36" i="7"/>
  <c r="BL34" i="7"/>
  <c r="BL37" i="7"/>
  <c r="BO33" i="7"/>
  <c r="BQ34" i="7"/>
  <c r="J36" i="7"/>
  <c r="O35" i="7"/>
  <c r="R34" i="7"/>
  <c r="U33" i="7"/>
  <c r="V37" i="7"/>
  <c r="X36" i="7"/>
  <c r="AA35" i="7"/>
  <c r="AC34" i="7"/>
  <c r="AE33" i="7"/>
  <c r="AH35" i="7"/>
  <c r="AI37" i="7"/>
  <c r="AE34" i="7"/>
  <c r="AF37" i="7"/>
  <c r="AI34" i="7"/>
  <c r="AM35" i="7"/>
  <c r="AN33" i="7"/>
  <c r="AN36" i="7"/>
  <c r="AO34" i="7"/>
  <c r="AO37" i="7"/>
  <c r="AP35" i="7"/>
  <c r="AR33" i="7"/>
  <c r="AR36" i="7"/>
  <c r="AS34" i="7"/>
  <c r="AS37" i="7"/>
  <c r="AT35" i="7"/>
  <c r="AV33" i="7"/>
  <c r="AV36" i="7"/>
  <c r="AW34" i="7"/>
  <c r="AW37" i="7"/>
  <c r="AX35" i="7"/>
  <c r="AY33" i="7"/>
  <c r="AY36" i="7"/>
  <c r="AZ34" i="7"/>
  <c r="AZ37" i="7"/>
  <c r="BA35" i="7"/>
  <c r="BB33" i="7"/>
  <c r="BB36" i="7"/>
  <c r="BC34" i="7"/>
  <c r="BC37" i="7"/>
  <c r="BE35" i="7"/>
  <c r="BF33" i="7"/>
  <c r="BF36" i="7"/>
  <c r="BG34" i="7"/>
  <c r="BG37" i="7"/>
  <c r="BH35" i="7"/>
  <c r="BI33" i="7"/>
  <c r="BI36" i="7"/>
  <c r="BK34" i="7"/>
  <c r="BK37" i="7"/>
  <c r="BL35" i="7"/>
  <c r="BN33" i="7"/>
  <c r="BN36" i="7"/>
  <c r="BO34" i="7"/>
  <c r="BO37" i="7"/>
  <c r="BQ35" i="7"/>
  <c r="BR33" i="7"/>
  <c r="BR36" i="7"/>
  <c r="BS34" i="7"/>
  <c r="BS37" i="7"/>
  <c r="BT35" i="7"/>
  <c r="M34" i="7"/>
  <c r="P33" i="7"/>
  <c r="R37" i="7"/>
  <c r="U36" i="7"/>
  <c r="W35" i="7"/>
  <c r="Y34" i="7"/>
  <c r="AB33" i="7"/>
  <c r="AC37" i="7"/>
  <c r="AF34" i="7"/>
  <c r="AH36" i="7"/>
  <c r="AJ37" i="7"/>
  <c r="AN37" i="7"/>
  <c r="AS35" i="7"/>
  <c r="AV37" i="7"/>
  <c r="AX36" i="7"/>
  <c r="AZ35" i="7"/>
  <c r="BB34" i="7"/>
  <c r="BE33" i="7"/>
  <c r="BF37" i="7"/>
  <c r="BH36" i="7"/>
  <c r="BK35" i="7"/>
  <c r="BL36" i="7"/>
  <c r="BN37" i="7"/>
  <c r="BR34" i="7"/>
  <c r="I37" i="7"/>
  <c r="BR35" i="7"/>
  <c r="I36" i="7"/>
  <c r="AO35" i="7"/>
  <c r="BT34" i="7"/>
  <c r="AJ34" i="7"/>
  <c r="AP33" i="7"/>
  <c r="AT36" i="7"/>
  <c r="AW35" i="7"/>
  <c r="AY34" i="7"/>
  <c r="BA33" i="7"/>
  <c r="BB37" i="7"/>
  <c r="BE36" i="7"/>
  <c r="BG35" i="7"/>
  <c r="BI34" i="7"/>
  <c r="BS35" i="7"/>
  <c r="AP36" i="7"/>
  <c r="BL33" i="7"/>
  <c r="BN34" i="7"/>
  <c r="BO35" i="7"/>
  <c r="BQ36" i="7"/>
  <c r="BS36" i="7"/>
  <c r="AM36" i="7"/>
  <c r="AR34" i="7"/>
  <c r="AV34" i="7"/>
  <c r="AX33" i="7"/>
  <c r="AY37" i="7"/>
  <c r="BA36" i="7"/>
  <c r="BC35" i="7"/>
  <c r="BF34" i="7"/>
  <c r="BH33" i="7"/>
  <c r="BI37" i="7"/>
  <c r="BR37" i="7"/>
  <c r="BT36" i="7"/>
  <c r="I34" i="7"/>
  <c r="AH33" i="7"/>
  <c r="AN34" i="7"/>
  <c r="AR37" i="7"/>
  <c r="BS33" i="7"/>
  <c r="BT37" i="7"/>
  <c r="BQ33" i="7"/>
  <c r="BT33" i="7"/>
  <c r="AT33" i="7"/>
  <c r="I33" i="7" l="1"/>
  <c r="BT32" i="7" l="1"/>
  <c r="BS32" i="7"/>
  <c r="BR32" i="7"/>
  <c r="BQ32" i="7"/>
  <c r="BO32" i="7"/>
  <c r="BN32" i="7"/>
  <c r="BL32" i="7"/>
  <c r="BK32" i="7"/>
  <c r="BI32" i="7"/>
  <c r="BH32" i="7"/>
  <c r="BG32" i="7"/>
  <c r="BF32" i="7"/>
  <c r="BE32" i="7"/>
  <c r="BC32" i="7"/>
  <c r="BB32" i="7"/>
  <c r="BA32" i="7"/>
  <c r="AZ32" i="7"/>
  <c r="AY32" i="7"/>
  <c r="AX32" i="7"/>
  <c r="AW32" i="7"/>
  <c r="AV32" i="7"/>
  <c r="AT32" i="7"/>
  <c r="AS32" i="7"/>
  <c r="AR32" i="7"/>
  <c r="AP32" i="7"/>
  <c r="AO32" i="7"/>
  <c r="AN32" i="7"/>
  <c r="AM32" i="7"/>
  <c r="AK32" i="7"/>
  <c r="AJ32" i="7"/>
  <c r="AI32" i="7"/>
  <c r="AH32" i="7"/>
  <c r="AF32" i="7"/>
  <c r="AE32" i="7"/>
  <c r="AD32" i="7"/>
  <c r="AC32" i="7"/>
  <c r="AB32" i="7"/>
  <c r="AA32" i="7"/>
  <c r="Y32" i="7"/>
  <c r="X32" i="7"/>
  <c r="W32" i="7"/>
  <c r="V32" i="7"/>
  <c r="U32" i="7"/>
  <c r="S32" i="7"/>
  <c r="R32" i="7"/>
  <c r="P32" i="7"/>
  <c r="O32" i="7"/>
  <c r="N32" i="7"/>
  <c r="M32" i="7"/>
  <c r="K32" i="7"/>
  <c r="J32" i="7"/>
  <c r="I32" i="7"/>
  <c r="BT31" i="7"/>
  <c r="BS31" i="7"/>
  <c r="BR31" i="7"/>
  <c r="BQ31" i="7"/>
  <c r="BO31" i="7"/>
  <c r="BN31" i="7"/>
  <c r="BL31" i="7"/>
  <c r="BK31" i="7"/>
  <c r="BI31" i="7"/>
  <c r="BH31" i="7"/>
  <c r="BG31" i="7"/>
  <c r="BF31" i="7"/>
  <c r="BE31" i="7"/>
  <c r="BC31" i="7"/>
  <c r="BB31" i="7"/>
  <c r="BA31" i="7"/>
  <c r="AZ31" i="7"/>
  <c r="AY31" i="7"/>
  <c r="AX31" i="7"/>
  <c r="AW31" i="7"/>
  <c r="AV31" i="7"/>
  <c r="AT31" i="7"/>
  <c r="AS31" i="7"/>
  <c r="AR31" i="7"/>
  <c r="AP31" i="7"/>
  <c r="AO31" i="7"/>
  <c r="AN31" i="7"/>
  <c r="AM31" i="7"/>
  <c r="AK31" i="7"/>
  <c r="AJ31" i="7"/>
  <c r="AI31" i="7"/>
  <c r="AH31" i="7"/>
  <c r="AF31" i="7"/>
  <c r="AE31" i="7"/>
  <c r="AD31" i="7"/>
  <c r="AC31" i="7"/>
  <c r="AB31" i="7"/>
  <c r="AA31" i="7"/>
  <c r="Y31" i="7"/>
  <c r="X31" i="7"/>
  <c r="W31" i="7"/>
  <c r="V31" i="7"/>
  <c r="U31" i="7"/>
  <c r="S31" i="7"/>
  <c r="R31" i="7"/>
  <c r="P31" i="7"/>
  <c r="O31" i="7"/>
  <c r="N31" i="7"/>
  <c r="M31" i="7"/>
  <c r="K31" i="7"/>
  <c r="J31" i="7"/>
  <c r="I31" i="7"/>
  <c r="BT30" i="7"/>
  <c r="BS30" i="7"/>
  <c r="BR30" i="7"/>
  <c r="BQ30" i="7"/>
  <c r="BO30" i="7"/>
  <c r="BN30" i="7"/>
  <c r="BL30" i="7"/>
  <c r="BK30" i="7"/>
  <c r="BI30" i="7"/>
  <c r="BH30" i="7"/>
  <c r="BG30" i="7"/>
  <c r="BF30" i="7"/>
  <c r="BE30" i="7"/>
  <c r="BC30" i="7"/>
  <c r="BB30" i="7"/>
  <c r="BA30" i="7"/>
  <c r="AZ30" i="7"/>
  <c r="AY30" i="7"/>
  <c r="AX30" i="7"/>
  <c r="AW30" i="7"/>
  <c r="AV30" i="7"/>
  <c r="AT30" i="7"/>
  <c r="AS30" i="7"/>
  <c r="AR30" i="7"/>
  <c r="AP30" i="7"/>
  <c r="AO30" i="7"/>
  <c r="AN30" i="7"/>
  <c r="AM30" i="7"/>
  <c r="AK30" i="7"/>
  <c r="AJ30" i="7"/>
  <c r="AI30" i="7"/>
  <c r="AH30" i="7"/>
  <c r="AF30" i="7"/>
  <c r="AE30" i="7"/>
  <c r="AD30" i="7"/>
  <c r="AC30" i="7"/>
  <c r="AB30" i="7"/>
  <c r="AA30" i="7"/>
  <c r="Y30" i="7"/>
  <c r="X30" i="7"/>
  <c r="W30" i="7"/>
  <c r="V30" i="7"/>
  <c r="U30" i="7"/>
  <c r="S30" i="7"/>
  <c r="R30" i="7"/>
  <c r="P30" i="7"/>
  <c r="O30" i="7"/>
  <c r="N30" i="7"/>
  <c r="M30" i="7"/>
  <c r="K30" i="7"/>
  <c r="J30" i="7"/>
  <c r="I30" i="7"/>
  <c r="BT29" i="7"/>
  <c r="BS29" i="7"/>
  <c r="BR29" i="7"/>
  <c r="BQ29" i="7"/>
  <c r="BO29" i="7"/>
  <c r="BN29" i="7"/>
  <c r="BL29" i="7"/>
  <c r="BK29" i="7"/>
  <c r="BI29" i="7"/>
  <c r="BH29" i="7"/>
  <c r="BG29" i="7"/>
  <c r="BF29" i="7"/>
  <c r="BE29" i="7"/>
  <c r="BC29" i="7"/>
  <c r="BB29" i="7"/>
  <c r="BA29" i="7"/>
  <c r="AZ29" i="7"/>
  <c r="AY29" i="7"/>
  <c r="AX29" i="7"/>
  <c r="AW29" i="7"/>
  <c r="AV29" i="7"/>
  <c r="AT29" i="7"/>
  <c r="AS29" i="7"/>
  <c r="AR29" i="7"/>
  <c r="AP29" i="7"/>
  <c r="AO29" i="7"/>
  <c r="AN29" i="7"/>
  <c r="AM29" i="7"/>
  <c r="AK29" i="7"/>
  <c r="AJ29" i="7"/>
  <c r="AI29" i="7"/>
  <c r="AH29" i="7"/>
  <c r="AF29" i="7"/>
  <c r="AE29" i="7"/>
  <c r="AD29" i="7"/>
  <c r="AC29" i="7"/>
  <c r="AB29" i="7"/>
  <c r="AA29" i="7"/>
  <c r="Y29" i="7"/>
  <c r="X29" i="7"/>
  <c r="W29" i="7"/>
  <c r="V29" i="7"/>
  <c r="U29" i="7"/>
  <c r="S29" i="7"/>
  <c r="R29" i="7"/>
  <c r="P29" i="7"/>
  <c r="O29" i="7"/>
  <c r="N29" i="7"/>
  <c r="M29" i="7"/>
  <c r="K29" i="7"/>
  <c r="J29" i="7"/>
  <c r="I29" i="7"/>
  <c r="BT28" i="7"/>
  <c r="BS28" i="7"/>
  <c r="BR28" i="7"/>
  <c r="BQ28" i="7"/>
  <c r="BO28" i="7"/>
  <c r="BN28" i="7"/>
  <c r="BL28" i="7"/>
  <c r="BK28" i="7"/>
  <c r="BI28" i="7"/>
  <c r="BH28" i="7"/>
  <c r="BG28" i="7"/>
  <c r="BF28" i="7"/>
  <c r="BE28" i="7"/>
  <c r="BC28" i="7"/>
  <c r="BB28" i="7"/>
  <c r="BA28" i="7"/>
  <c r="AZ28" i="7"/>
  <c r="AY28" i="7"/>
  <c r="AX28" i="7"/>
  <c r="AW28" i="7"/>
  <c r="AV28" i="7"/>
  <c r="AT28" i="7"/>
  <c r="AS28" i="7"/>
  <c r="AR28" i="7"/>
  <c r="AP28" i="7"/>
  <c r="AO28" i="7"/>
  <c r="AN28" i="7"/>
  <c r="AM28" i="7"/>
  <c r="AK28" i="7"/>
  <c r="AJ28" i="7"/>
  <c r="AI28" i="7"/>
  <c r="AH28" i="7"/>
  <c r="AF28" i="7"/>
  <c r="AE28" i="7"/>
  <c r="AD28" i="7"/>
  <c r="AC28" i="7"/>
  <c r="AB28" i="7"/>
  <c r="AA28" i="7"/>
  <c r="Y28" i="7"/>
  <c r="X28" i="7"/>
  <c r="W28" i="7"/>
  <c r="V28" i="7"/>
  <c r="U28" i="7"/>
  <c r="S28" i="7"/>
  <c r="R28" i="7"/>
  <c r="P28" i="7"/>
  <c r="O28" i="7"/>
  <c r="N28" i="7"/>
  <c r="M28" i="7"/>
  <c r="K28" i="7"/>
  <c r="J28" i="7"/>
  <c r="I28" i="7"/>
  <c r="BT27" i="7"/>
  <c r="BS27" i="7"/>
  <c r="BR27" i="7"/>
  <c r="BQ27" i="7"/>
  <c r="BO27" i="7"/>
  <c r="BN27" i="7"/>
  <c r="BL27" i="7"/>
  <c r="BK27" i="7"/>
  <c r="BI27" i="7"/>
  <c r="BH27" i="7"/>
  <c r="BG27" i="7"/>
  <c r="BF27" i="7"/>
  <c r="BE27" i="7"/>
  <c r="BC27" i="7"/>
  <c r="BB27" i="7"/>
  <c r="BA27" i="7"/>
  <c r="AZ27" i="7"/>
  <c r="AY27" i="7"/>
  <c r="AX27" i="7"/>
  <c r="AW27" i="7"/>
  <c r="AV27" i="7"/>
  <c r="AT27" i="7"/>
  <c r="AS27" i="7"/>
  <c r="AR27" i="7"/>
  <c r="AP27" i="7"/>
  <c r="AO27" i="7"/>
  <c r="AN27" i="7"/>
  <c r="AM27" i="7"/>
  <c r="AK27" i="7"/>
  <c r="AJ27" i="7"/>
  <c r="AI27" i="7"/>
  <c r="AH27" i="7"/>
  <c r="AF27" i="7"/>
  <c r="AE27" i="7"/>
  <c r="AD27" i="7"/>
  <c r="AC27" i="7"/>
  <c r="AB27" i="7"/>
  <c r="AA27" i="7"/>
  <c r="Y27" i="7"/>
  <c r="X27" i="7"/>
  <c r="W27" i="7"/>
  <c r="V27" i="7"/>
  <c r="U27" i="7"/>
  <c r="S27" i="7"/>
  <c r="R27" i="7"/>
  <c r="P27" i="7"/>
  <c r="O27" i="7"/>
  <c r="N27" i="7"/>
  <c r="M27" i="7"/>
  <c r="K27" i="7"/>
  <c r="J27" i="7"/>
  <c r="I27" i="7"/>
  <c r="BT26" i="7" l="1"/>
  <c r="BS26" i="7"/>
  <c r="BR26" i="7"/>
  <c r="BQ26" i="7"/>
  <c r="BO26" i="7"/>
  <c r="BN26" i="7"/>
  <c r="BL26" i="7"/>
  <c r="BK26" i="7"/>
  <c r="BI26" i="7"/>
  <c r="BH26" i="7"/>
  <c r="BG26" i="7"/>
  <c r="BF26" i="7"/>
  <c r="BE26" i="7"/>
  <c r="BC26" i="7"/>
  <c r="BB26" i="7"/>
  <c r="BA26" i="7"/>
  <c r="AZ26" i="7"/>
  <c r="AY26" i="7"/>
  <c r="AX26" i="7"/>
  <c r="AW26" i="7"/>
  <c r="AV26" i="7"/>
  <c r="AT26" i="7"/>
  <c r="AS26" i="7"/>
  <c r="AR26" i="7"/>
  <c r="AP26" i="7"/>
  <c r="AO26" i="7"/>
  <c r="AN26" i="7"/>
  <c r="AM26" i="7"/>
  <c r="AK26" i="7"/>
  <c r="AJ26" i="7"/>
  <c r="AI26" i="7"/>
  <c r="AH26" i="7"/>
  <c r="AF26" i="7"/>
  <c r="AE26" i="7"/>
  <c r="AD26" i="7"/>
  <c r="AC26" i="7"/>
  <c r="AB26" i="7"/>
  <c r="AA26" i="7"/>
  <c r="Y26" i="7"/>
  <c r="X26" i="7"/>
  <c r="W26" i="7"/>
  <c r="V26" i="7"/>
  <c r="U26" i="7"/>
  <c r="S26" i="7"/>
  <c r="R26" i="7"/>
  <c r="P26" i="7"/>
  <c r="O26" i="7"/>
  <c r="N26" i="7"/>
  <c r="M26" i="7"/>
  <c r="K26" i="7"/>
  <c r="J26" i="7"/>
  <c r="I26" i="7"/>
  <c r="BT25" i="7"/>
  <c r="BS25" i="7"/>
  <c r="BR25" i="7"/>
  <c r="BQ25" i="7"/>
  <c r="BO25" i="7"/>
  <c r="BN25" i="7"/>
  <c r="BL25" i="7"/>
  <c r="BK25" i="7"/>
  <c r="BI25" i="7"/>
  <c r="BH25" i="7"/>
  <c r="BG25" i="7"/>
  <c r="BF25" i="7"/>
  <c r="BE25" i="7"/>
  <c r="BC25" i="7"/>
  <c r="BB25" i="7"/>
  <c r="BA25" i="7"/>
  <c r="AZ25" i="7"/>
  <c r="AY25" i="7"/>
  <c r="AX25" i="7"/>
  <c r="AW25" i="7"/>
  <c r="AV25" i="7"/>
  <c r="AT25" i="7"/>
  <c r="AS25" i="7"/>
  <c r="AR25" i="7"/>
  <c r="AP25" i="7"/>
  <c r="AO25" i="7"/>
  <c r="AN25" i="7"/>
  <c r="AM25" i="7"/>
  <c r="AK25" i="7"/>
  <c r="AJ25" i="7"/>
  <c r="AI25" i="7"/>
  <c r="AH25" i="7"/>
  <c r="AF25" i="7"/>
  <c r="AE25" i="7"/>
  <c r="AD25" i="7"/>
  <c r="AC25" i="7"/>
  <c r="AB25" i="7"/>
  <c r="AA25" i="7"/>
  <c r="Y25" i="7"/>
  <c r="X25" i="7"/>
  <c r="W25" i="7"/>
  <c r="V25" i="7"/>
  <c r="U25" i="7"/>
  <c r="S25" i="7"/>
  <c r="R25" i="7"/>
  <c r="P25" i="7"/>
  <c r="O25" i="7"/>
  <c r="N25" i="7"/>
  <c r="M25" i="7"/>
  <c r="K25" i="7"/>
  <c r="J25" i="7"/>
  <c r="I25" i="7"/>
  <c r="BT24" i="7"/>
  <c r="BS24" i="7"/>
  <c r="BR24" i="7"/>
  <c r="BQ24" i="7"/>
  <c r="BO24" i="7"/>
  <c r="BN24" i="7"/>
  <c r="BL24" i="7"/>
  <c r="BK24" i="7"/>
  <c r="BI24" i="7"/>
  <c r="BH24" i="7"/>
  <c r="BG24" i="7"/>
  <c r="BF24" i="7"/>
  <c r="BE24" i="7"/>
  <c r="BC24" i="7"/>
  <c r="BB24" i="7"/>
  <c r="BA24" i="7"/>
  <c r="AZ24" i="7"/>
  <c r="AY24" i="7"/>
  <c r="AX24" i="7"/>
  <c r="AW24" i="7"/>
  <c r="AV24" i="7"/>
  <c r="AT24" i="7"/>
  <c r="AS24" i="7"/>
  <c r="AR24" i="7"/>
  <c r="AP24" i="7"/>
  <c r="AO24" i="7"/>
  <c r="AN24" i="7"/>
  <c r="AM24" i="7"/>
  <c r="AK24" i="7"/>
  <c r="AJ24" i="7"/>
  <c r="AI24" i="7"/>
  <c r="AH24" i="7"/>
  <c r="AF24" i="7"/>
  <c r="AE24" i="7"/>
  <c r="AD24" i="7"/>
  <c r="AC24" i="7"/>
  <c r="AB24" i="7"/>
  <c r="AA24" i="7"/>
  <c r="Y24" i="7"/>
  <c r="X24" i="7"/>
  <c r="W24" i="7"/>
  <c r="V24" i="7"/>
  <c r="U24" i="7"/>
  <c r="S24" i="7"/>
  <c r="R24" i="7"/>
  <c r="P24" i="7"/>
  <c r="O24" i="7"/>
  <c r="N24" i="7"/>
  <c r="M24" i="7"/>
  <c r="K24" i="7"/>
  <c r="J24" i="7"/>
  <c r="I24" i="7"/>
  <c r="BT23" i="7"/>
  <c r="BS23" i="7"/>
  <c r="BR23" i="7"/>
  <c r="BQ23" i="7"/>
  <c r="BO23" i="7"/>
  <c r="BN23" i="7"/>
  <c r="BL23" i="7"/>
  <c r="BK23" i="7"/>
  <c r="BI23" i="7"/>
  <c r="BH23" i="7"/>
  <c r="BG23" i="7"/>
  <c r="BF23" i="7"/>
  <c r="BE23" i="7"/>
  <c r="BC23" i="7"/>
  <c r="BB23" i="7"/>
  <c r="BA23" i="7"/>
  <c r="AZ23" i="7"/>
  <c r="AY23" i="7"/>
  <c r="AX23" i="7"/>
  <c r="AW23" i="7"/>
  <c r="AV23" i="7"/>
  <c r="AT23" i="7"/>
  <c r="AS23" i="7"/>
  <c r="AR23" i="7"/>
  <c r="AP23" i="7"/>
  <c r="AO23" i="7"/>
  <c r="AN23" i="7"/>
  <c r="AM23" i="7"/>
  <c r="AK23" i="7"/>
  <c r="AJ23" i="7"/>
  <c r="AI23" i="7"/>
  <c r="AH23" i="7"/>
  <c r="AF23" i="7"/>
  <c r="AE23" i="7"/>
  <c r="AD23" i="7"/>
  <c r="AC23" i="7"/>
  <c r="AB23" i="7"/>
  <c r="AA23" i="7"/>
  <c r="Y23" i="7"/>
  <c r="X23" i="7"/>
  <c r="W23" i="7"/>
  <c r="V23" i="7"/>
  <c r="U23" i="7"/>
  <c r="S23" i="7"/>
  <c r="R23" i="7"/>
  <c r="P23" i="7"/>
  <c r="O23" i="7"/>
  <c r="N23" i="7"/>
  <c r="M23" i="7"/>
  <c r="K23" i="7"/>
  <c r="J23" i="7"/>
  <c r="I23" i="7"/>
  <c r="BT22" i="7"/>
  <c r="BS22" i="7"/>
  <c r="BR22" i="7"/>
  <c r="BQ22" i="7"/>
  <c r="BO22" i="7"/>
  <c r="BN22" i="7"/>
  <c r="BL22" i="7"/>
  <c r="BK22" i="7"/>
  <c r="BI22" i="7"/>
  <c r="BH22" i="7"/>
  <c r="BG22" i="7"/>
  <c r="BF22" i="7"/>
  <c r="BE22" i="7"/>
  <c r="BC22" i="7"/>
  <c r="BB22" i="7"/>
  <c r="BA22" i="7"/>
  <c r="AZ22" i="7"/>
  <c r="AY22" i="7"/>
  <c r="AX22" i="7"/>
  <c r="AW22" i="7"/>
  <c r="AV22" i="7"/>
  <c r="AT22" i="7"/>
  <c r="AS22" i="7"/>
  <c r="AR22" i="7"/>
  <c r="AP22" i="7"/>
  <c r="AO22" i="7"/>
  <c r="AN22" i="7"/>
  <c r="AM22" i="7"/>
  <c r="AK22" i="7"/>
  <c r="AJ22" i="7"/>
  <c r="AI22" i="7"/>
  <c r="AH22" i="7"/>
  <c r="AF22" i="7"/>
  <c r="AE22" i="7"/>
  <c r="AD22" i="7"/>
  <c r="AC22" i="7"/>
  <c r="AB22" i="7"/>
  <c r="AA22" i="7"/>
  <c r="Y22" i="7"/>
  <c r="X22" i="7"/>
  <c r="W22" i="7"/>
  <c r="V22" i="7"/>
  <c r="U22" i="7"/>
  <c r="S22" i="7"/>
  <c r="R22" i="7"/>
  <c r="P22" i="7"/>
  <c r="O22" i="7"/>
  <c r="N22" i="7"/>
  <c r="M22" i="7"/>
  <c r="K22" i="7"/>
  <c r="J22" i="7"/>
  <c r="I22" i="7"/>
  <c r="BT21" i="7"/>
  <c r="BS21" i="7"/>
  <c r="BR21" i="7"/>
  <c r="BQ21" i="7"/>
  <c r="BO21" i="7"/>
  <c r="BN21" i="7"/>
  <c r="BL21" i="7"/>
  <c r="BK21" i="7"/>
  <c r="BI21" i="7"/>
  <c r="BH21" i="7"/>
  <c r="BG21" i="7"/>
  <c r="BF21" i="7"/>
  <c r="BE21" i="7"/>
  <c r="BC21" i="7"/>
  <c r="BB21" i="7"/>
  <c r="BA21" i="7"/>
  <c r="AZ21" i="7"/>
  <c r="AY21" i="7"/>
  <c r="AX21" i="7"/>
  <c r="AW21" i="7"/>
  <c r="AV21" i="7"/>
  <c r="AT21" i="7"/>
  <c r="AS21" i="7"/>
  <c r="AR21" i="7"/>
  <c r="AP21" i="7"/>
  <c r="AO21" i="7"/>
  <c r="AN21" i="7"/>
  <c r="AM21" i="7"/>
  <c r="AK21" i="7"/>
  <c r="AJ21" i="7"/>
  <c r="AI21" i="7"/>
  <c r="AH21" i="7"/>
  <c r="AF21" i="7"/>
  <c r="AE21" i="7"/>
  <c r="AD21" i="7"/>
  <c r="AC21" i="7"/>
  <c r="AB21" i="7"/>
  <c r="AA21" i="7"/>
  <c r="Y21" i="7"/>
  <c r="X21" i="7"/>
  <c r="W21" i="7"/>
  <c r="V21" i="7"/>
  <c r="U21" i="7"/>
  <c r="S21" i="7"/>
  <c r="R21" i="7"/>
  <c r="P21" i="7"/>
  <c r="O21" i="7"/>
  <c r="N21" i="7"/>
  <c r="M21" i="7"/>
  <c r="K21" i="7"/>
  <c r="J21" i="7"/>
  <c r="I21" i="7"/>
  <c r="BT20" i="7"/>
  <c r="BS20" i="7"/>
  <c r="BR20" i="7"/>
  <c r="BQ20" i="7"/>
  <c r="BO20" i="7"/>
  <c r="BN20" i="7"/>
  <c r="BL20" i="7"/>
  <c r="BK20" i="7"/>
  <c r="BI20" i="7"/>
  <c r="BH20" i="7"/>
  <c r="BG20" i="7"/>
  <c r="BF20" i="7"/>
  <c r="BE20" i="7"/>
  <c r="BC20" i="7"/>
  <c r="BB20" i="7"/>
  <c r="BA20" i="7"/>
  <c r="AZ20" i="7"/>
  <c r="AY20" i="7"/>
  <c r="AX20" i="7"/>
  <c r="AW20" i="7"/>
  <c r="AV20" i="7"/>
  <c r="AT20" i="7"/>
  <c r="AS20" i="7"/>
  <c r="AR20" i="7"/>
  <c r="AP20" i="7"/>
  <c r="AO20" i="7"/>
  <c r="AN20" i="7"/>
  <c r="AM20" i="7"/>
  <c r="AK20" i="7"/>
  <c r="AJ20" i="7"/>
  <c r="AI20" i="7"/>
  <c r="AH20" i="7"/>
  <c r="AF20" i="7"/>
  <c r="AE20" i="7"/>
  <c r="AD20" i="7"/>
  <c r="AC20" i="7"/>
  <c r="AB20" i="7"/>
  <c r="AA20" i="7"/>
  <c r="Y20" i="7"/>
  <c r="X20" i="7"/>
  <c r="W20" i="7"/>
  <c r="V20" i="7"/>
  <c r="U20" i="7"/>
  <c r="S20" i="7"/>
  <c r="R20" i="7"/>
  <c r="P20" i="7"/>
  <c r="O20" i="7"/>
  <c r="N20" i="7"/>
  <c r="M20" i="7"/>
  <c r="K20" i="7"/>
  <c r="J20" i="7"/>
  <c r="I20" i="7"/>
  <c r="BT19" i="7"/>
  <c r="BS19" i="7"/>
  <c r="BR19" i="7"/>
  <c r="BQ19" i="7"/>
  <c r="BO19" i="7"/>
  <c r="BN19" i="7"/>
  <c r="BL19" i="7"/>
  <c r="BK19" i="7"/>
  <c r="BI19" i="7"/>
  <c r="BH19" i="7"/>
  <c r="BG19" i="7"/>
  <c r="BF19" i="7"/>
  <c r="BE19" i="7"/>
  <c r="BC19" i="7"/>
  <c r="BB19" i="7"/>
  <c r="BA19" i="7"/>
  <c r="AZ19" i="7"/>
  <c r="AY19" i="7"/>
  <c r="AX19" i="7"/>
  <c r="AW19" i="7"/>
  <c r="AV19" i="7"/>
  <c r="AT19" i="7"/>
  <c r="AS19" i="7"/>
  <c r="AR19" i="7"/>
  <c r="AP19" i="7"/>
  <c r="AO19" i="7"/>
  <c r="AN19" i="7"/>
  <c r="AM19" i="7"/>
  <c r="AK19" i="7"/>
  <c r="AJ19" i="7"/>
  <c r="AI19" i="7"/>
  <c r="AH19" i="7"/>
  <c r="AF19" i="7"/>
  <c r="AE19" i="7"/>
  <c r="AD19" i="7"/>
  <c r="AC19" i="7"/>
  <c r="AB19" i="7"/>
  <c r="AA19" i="7"/>
  <c r="Y19" i="7"/>
  <c r="X19" i="7"/>
  <c r="W19" i="7"/>
  <c r="V19" i="7"/>
  <c r="U19" i="7"/>
  <c r="S19" i="7"/>
  <c r="R19" i="7"/>
  <c r="P19" i="7"/>
  <c r="O19" i="7"/>
  <c r="N19" i="7"/>
  <c r="M19" i="7"/>
  <c r="K19" i="7"/>
  <c r="J19" i="7"/>
  <c r="I19" i="7"/>
  <c r="BT18" i="7"/>
  <c r="BS18" i="7"/>
  <c r="BR18" i="7"/>
  <c r="BQ18" i="7"/>
  <c r="BO18" i="7"/>
  <c r="BN18" i="7"/>
  <c r="BL18" i="7"/>
  <c r="BK18" i="7"/>
  <c r="BI18" i="7"/>
  <c r="BH18" i="7"/>
  <c r="BG18" i="7"/>
  <c r="BF18" i="7"/>
  <c r="BE18" i="7"/>
  <c r="BC18" i="7"/>
  <c r="BB18" i="7"/>
  <c r="BA18" i="7"/>
  <c r="AZ18" i="7"/>
  <c r="AY18" i="7"/>
  <c r="AX18" i="7"/>
  <c r="AW18" i="7"/>
  <c r="AV18" i="7"/>
  <c r="AT18" i="7"/>
  <c r="AS18" i="7"/>
  <c r="AR18" i="7"/>
  <c r="AP18" i="7"/>
  <c r="AO18" i="7"/>
  <c r="AN18" i="7"/>
  <c r="AM18" i="7"/>
  <c r="AK18" i="7"/>
  <c r="AJ18" i="7"/>
  <c r="AI18" i="7"/>
  <c r="AH18" i="7"/>
  <c r="AF18" i="7"/>
  <c r="AE18" i="7"/>
  <c r="AD18" i="7"/>
  <c r="AC18" i="7"/>
  <c r="AB18" i="7"/>
  <c r="AA18" i="7"/>
  <c r="Y18" i="7"/>
  <c r="X18" i="7"/>
  <c r="W18" i="7"/>
  <c r="V18" i="7"/>
  <c r="U18" i="7"/>
  <c r="S18" i="7"/>
  <c r="R18" i="7"/>
  <c r="P18" i="7"/>
  <c r="O18" i="7"/>
  <c r="N18" i="7"/>
  <c r="M18" i="7"/>
  <c r="K18" i="7"/>
  <c r="J18" i="7"/>
  <c r="I18" i="7"/>
  <c r="BT17" i="7"/>
  <c r="BS17" i="7"/>
  <c r="BR17" i="7"/>
  <c r="BQ17" i="7"/>
  <c r="BO17" i="7"/>
  <c r="BN17" i="7"/>
  <c r="BL17" i="7"/>
  <c r="BK17" i="7"/>
  <c r="BI17" i="7"/>
  <c r="BH17" i="7"/>
  <c r="BG17" i="7"/>
  <c r="BF17" i="7"/>
  <c r="BE17" i="7"/>
  <c r="BC17" i="7"/>
  <c r="BB17" i="7"/>
  <c r="BA17" i="7"/>
  <c r="AZ17" i="7"/>
  <c r="AY17" i="7"/>
  <c r="AX17" i="7"/>
  <c r="AW17" i="7"/>
  <c r="AV17" i="7"/>
  <c r="AT17" i="7"/>
  <c r="AS17" i="7"/>
  <c r="AR17" i="7"/>
  <c r="AP17" i="7"/>
  <c r="AO17" i="7"/>
  <c r="AN17" i="7"/>
  <c r="AM17" i="7"/>
  <c r="AK17" i="7"/>
  <c r="AJ17" i="7"/>
  <c r="AI17" i="7"/>
  <c r="AH17" i="7"/>
  <c r="AF17" i="7"/>
  <c r="AE17" i="7"/>
  <c r="AD17" i="7"/>
  <c r="AC17" i="7"/>
  <c r="AB17" i="7"/>
  <c r="AA17" i="7"/>
  <c r="Y17" i="7"/>
  <c r="X17" i="7"/>
  <c r="W17" i="7"/>
  <c r="V17" i="7"/>
  <c r="U17" i="7"/>
  <c r="S17" i="7"/>
  <c r="R17" i="7"/>
  <c r="P17" i="7"/>
  <c r="O17" i="7"/>
  <c r="N17" i="7"/>
  <c r="M17" i="7"/>
  <c r="K17" i="7"/>
  <c r="J17" i="7"/>
  <c r="I17" i="7"/>
  <c r="BT16" i="7"/>
  <c r="BS16" i="7"/>
  <c r="BR16" i="7"/>
  <c r="BQ16" i="7"/>
  <c r="BO16" i="7"/>
  <c r="BN16" i="7"/>
  <c r="BL16" i="7"/>
  <c r="BK16" i="7"/>
  <c r="BI16" i="7"/>
  <c r="BH16" i="7"/>
  <c r="BG16" i="7"/>
  <c r="BF16" i="7"/>
  <c r="BE16" i="7"/>
  <c r="BC16" i="7"/>
  <c r="BB16" i="7"/>
  <c r="BA16" i="7"/>
  <c r="AZ16" i="7"/>
  <c r="AY16" i="7"/>
  <c r="AX16" i="7"/>
  <c r="AW16" i="7"/>
  <c r="AV16" i="7"/>
  <c r="AT16" i="7"/>
  <c r="AS16" i="7"/>
  <c r="AR16" i="7"/>
  <c r="AP16" i="7"/>
  <c r="AO16" i="7"/>
  <c r="AN16" i="7"/>
  <c r="AM16" i="7"/>
  <c r="AK16" i="7"/>
  <c r="AJ16" i="7"/>
  <c r="AI16" i="7"/>
  <c r="AH16" i="7"/>
  <c r="AF16" i="7"/>
  <c r="AE16" i="7"/>
  <c r="AD16" i="7"/>
  <c r="AC16" i="7"/>
  <c r="AB16" i="7"/>
  <c r="AA16" i="7"/>
  <c r="Y16" i="7"/>
  <c r="X16" i="7"/>
  <c r="W16" i="7"/>
  <c r="V16" i="7"/>
  <c r="U16" i="7"/>
  <c r="S16" i="7"/>
  <c r="R16" i="7"/>
  <c r="P16" i="7"/>
  <c r="O16" i="7"/>
  <c r="N16" i="7"/>
  <c r="M16" i="7"/>
  <c r="K16" i="7"/>
  <c r="J16" i="7"/>
  <c r="I16" i="7"/>
  <c r="BT15" i="7"/>
  <c r="BS15" i="7"/>
  <c r="BR15" i="7"/>
  <c r="BQ15" i="7"/>
  <c r="BO15" i="7"/>
  <c r="BN15" i="7"/>
  <c r="BL15" i="7"/>
  <c r="BK15" i="7"/>
  <c r="BI15" i="7"/>
  <c r="BH15" i="7"/>
  <c r="BG15" i="7"/>
  <c r="BF15" i="7"/>
  <c r="BE15" i="7"/>
  <c r="BC15" i="7"/>
  <c r="BB15" i="7"/>
  <c r="BA15" i="7"/>
  <c r="AZ15" i="7"/>
  <c r="AY15" i="7"/>
  <c r="AX15" i="7"/>
  <c r="AW15" i="7"/>
  <c r="AV15" i="7"/>
  <c r="AT15" i="7"/>
  <c r="AS15" i="7"/>
  <c r="AR15" i="7"/>
  <c r="AP15" i="7"/>
  <c r="AO15" i="7"/>
  <c r="AN15" i="7"/>
  <c r="AM15" i="7"/>
  <c r="AK15" i="7"/>
  <c r="AJ15" i="7"/>
  <c r="AI15" i="7"/>
  <c r="AH15" i="7"/>
  <c r="AF15" i="7"/>
  <c r="AE15" i="7"/>
  <c r="AD15" i="7"/>
  <c r="AC15" i="7"/>
  <c r="AB15" i="7"/>
  <c r="AA15" i="7"/>
  <c r="Y15" i="7"/>
  <c r="X15" i="7"/>
  <c r="W15" i="7"/>
  <c r="V15" i="7"/>
  <c r="U15" i="7"/>
  <c r="S15" i="7"/>
  <c r="R15" i="7"/>
  <c r="P15" i="7"/>
  <c r="O15" i="7"/>
  <c r="N15" i="7"/>
  <c r="M15" i="7"/>
  <c r="K15" i="7"/>
  <c r="J15" i="7"/>
  <c r="I15" i="7"/>
  <c r="BT14" i="7"/>
  <c r="BS14" i="7"/>
  <c r="BR14" i="7"/>
  <c r="BQ14" i="7"/>
  <c r="BO14" i="7"/>
  <c r="BN14" i="7"/>
  <c r="BL14" i="7"/>
  <c r="BK14" i="7"/>
  <c r="BI14" i="7"/>
  <c r="BH14" i="7"/>
  <c r="BG14" i="7"/>
  <c r="BF14" i="7"/>
  <c r="BE14" i="7"/>
  <c r="BC14" i="7"/>
  <c r="BB14" i="7"/>
  <c r="BA14" i="7"/>
  <c r="AZ14" i="7"/>
  <c r="AY14" i="7"/>
  <c r="AX14" i="7"/>
  <c r="AW14" i="7"/>
  <c r="AV14" i="7"/>
  <c r="AT14" i="7"/>
  <c r="AS14" i="7"/>
  <c r="AR14" i="7"/>
  <c r="AP14" i="7"/>
  <c r="AO14" i="7"/>
  <c r="AN14" i="7"/>
  <c r="AM14" i="7"/>
  <c r="AK14" i="7"/>
  <c r="AJ14" i="7"/>
  <c r="AI14" i="7"/>
  <c r="AH14" i="7"/>
  <c r="AF14" i="7"/>
  <c r="AE14" i="7"/>
  <c r="AD14" i="7"/>
  <c r="AC14" i="7"/>
  <c r="AB14" i="7"/>
  <c r="AA14" i="7"/>
  <c r="Y14" i="7"/>
  <c r="X14" i="7"/>
  <c r="W14" i="7"/>
  <c r="V14" i="7"/>
  <c r="U14" i="7"/>
  <c r="S14" i="7"/>
  <c r="R14" i="7"/>
  <c r="P14" i="7"/>
  <c r="O14" i="7"/>
  <c r="N14" i="7"/>
  <c r="M14" i="7"/>
  <c r="K14" i="7"/>
  <c r="J14" i="7"/>
  <c r="I14" i="7"/>
  <c r="BT13" i="7"/>
  <c r="BS13" i="7"/>
  <c r="BR13" i="7"/>
  <c r="BQ13" i="7"/>
  <c r="BO13" i="7"/>
  <c r="BN13" i="7"/>
  <c r="BL13" i="7"/>
  <c r="BK13" i="7"/>
  <c r="BI13" i="7"/>
  <c r="BH13" i="7"/>
  <c r="BG13" i="7"/>
  <c r="BF13" i="7"/>
  <c r="BE13" i="7"/>
  <c r="BC13" i="7"/>
  <c r="BB13" i="7"/>
  <c r="BA13" i="7"/>
  <c r="AZ13" i="7"/>
  <c r="AY13" i="7"/>
  <c r="AX13" i="7"/>
  <c r="AW13" i="7"/>
  <c r="AV13" i="7"/>
  <c r="AT13" i="7"/>
  <c r="AS13" i="7"/>
  <c r="AR13" i="7"/>
  <c r="AP13" i="7"/>
  <c r="AO13" i="7"/>
  <c r="AN13" i="7"/>
  <c r="AM13" i="7"/>
  <c r="AK13" i="7"/>
  <c r="AJ13" i="7"/>
  <c r="AI13" i="7"/>
  <c r="AH13" i="7"/>
  <c r="AF13" i="7"/>
  <c r="AE13" i="7"/>
  <c r="AD13" i="7"/>
  <c r="AC13" i="7"/>
  <c r="AB13" i="7"/>
  <c r="AA13" i="7"/>
  <c r="Y13" i="7"/>
  <c r="X13" i="7"/>
  <c r="W13" i="7"/>
  <c r="V13" i="7"/>
  <c r="U13" i="7"/>
  <c r="S13" i="7"/>
  <c r="R13" i="7"/>
  <c r="P13" i="7"/>
  <c r="O13" i="7"/>
  <c r="N13" i="7"/>
  <c r="M13" i="7"/>
  <c r="K13" i="7"/>
  <c r="J13" i="7"/>
  <c r="I13" i="7"/>
  <c r="BT12" i="7"/>
  <c r="BS12" i="7"/>
  <c r="BR12" i="7"/>
  <c r="BQ12" i="7"/>
  <c r="BO12" i="7"/>
  <c r="BN12" i="7"/>
  <c r="BL12" i="7"/>
  <c r="BK12" i="7"/>
  <c r="BI12" i="7"/>
  <c r="BH12" i="7"/>
  <c r="BG12" i="7"/>
  <c r="BF12" i="7"/>
  <c r="BE12" i="7"/>
  <c r="BC12" i="7"/>
  <c r="BB12" i="7"/>
  <c r="BA12" i="7"/>
  <c r="AZ12" i="7"/>
  <c r="AY12" i="7"/>
  <c r="AX12" i="7"/>
  <c r="AW12" i="7"/>
  <c r="AV12" i="7"/>
  <c r="AT12" i="7"/>
  <c r="AS12" i="7"/>
  <c r="AR12" i="7"/>
  <c r="AP12" i="7"/>
  <c r="AO12" i="7"/>
  <c r="AN12" i="7"/>
  <c r="AM12" i="7"/>
  <c r="AK12" i="7"/>
  <c r="AJ12" i="7"/>
  <c r="AI12" i="7"/>
  <c r="AH12" i="7"/>
  <c r="AF12" i="7"/>
  <c r="AE12" i="7"/>
  <c r="AD12" i="7"/>
  <c r="AC12" i="7"/>
  <c r="AB12" i="7"/>
  <c r="AA12" i="7"/>
  <c r="Y12" i="7"/>
  <c r="X12" i="7"/>
  <c r="W12" i="7"/>
  <c r="V12" i="7"/>
  <c r="U12" i="7"/>
  <c r="S12" i="7"/>
  <c r="R12" i="7"/>
  <c r="P12" i="7"/>
  <c r="O12" i="7"/>
  <c r="N12" i="7"/>
  <c r="M12" i="7"/>
  <c r="K12" i="7"/>
  <c r="J12" i="7"/>
  <c r="I12" i="7"/>
  <c r="BR39" i="7" l="1"/>
  <c r="BS39" i="7"/>
  <c r="BT39" i="7"/>
  <c r="BQ39" i="7"/>
  <c r="BO39" i="7"/>
  <c r="BN39" i="7"/>
  <c r="BL39" i="7"/>
  <c r="BK39" i="7"/>
  <c r="BF39" i="7"/>
  <c r="BG39" i="7"/>
  <c r="BH39" i="7"/>
  <c r="BI39" i="7"/>
  <c r="BE39" i="7"/>
  <c r="AW39" i="7"/>
  <c r="AX39" i="7"/>
  <c r="AY39" i="7"/>
  <c r="AZ39" i="7"/>
  <c r="BA39" i="7"/>
  <c r="BB39" i="7"/>
  <c r="BC39" i="7"/>
  <c r="AV39" i="7"/>
  <c r="AS39" i="7"/>
  <c r="AT39" i="7"/>
  <c r="AR39" i="7"/>
  <c r="AN39" i="7"/>
  <c r="AO39" i="7"/>
  <c r="AP39" i="7"/>
  <c r="AM39" i="7"/>
  <c r="AI39" i="7"/>
  <c r="AJ39" i="7"/>
  <c r="AK39" i="7"/>
  <c r="AH39" i="7"/>
  <c r="AB39" i="7"/>
  <c r="AC39" i="7"/>
  <c r="AD39" i="7"/>
  <c r="AE39" i="7"/>
  <c r="AF39" i="7"/>
  <c r="AA39" i="7"/>
  <c r="V39" i="7"/>
  <c r="W39" i="7"/>
  <c r="X39" i="7"/>
  <c r="Y39" i="7"/>
  <c r="U39" i="7"/>
  <c r="S39" i="7"/>
  <c r="R39" i="7"/>
  <c r="N39" i="7"/>
  <c r="O39" i="7"/>
  <c r="P39" i="7"/>
  <c r="M39" i="7"/>
  <c r="J39" i="7"/>
  <c r="K39" i="7"/>
  <c r="I39" i="7"/>
  <c r="G39" i="7"/>
  <c r="F39" i="7"/>
  <c r="G38" i="7" l="1"/>
  <c r="F38" i="7" l="1"/>
  <c r="BJ37" i="7" l="1"/>
  <c r="BP37" i="7"/>
  <c r="BM37" i="7"/>
  <c r="Q34" i="7"/>
  <c r="Q37" i="7"/>
  <c r="H37" i="7"/>
  <c r="BP34" i="7"/>
  <c r="Q36" i="7"/>
  <c r="Q35" i="7"/>
  <c r="BJ35" i="7"/>
  <c r="BJ34" i="7"/>
  <c r="T34" i="7"/>
  <c r="Z34" i="7"/>
  <c r="AG34" i="7"/>
  <c r="AQ34" i="7"/>
  <c r="AU34" i="7"/>
  <c r="BD34" i="7"/>
  <c r="BM34" i="7"/>
  <c r="H35" i="7"/>
  <c r="L35" i="7"/>
  <c r="AL35" i="7"/>
  <c r="BP35" i="7"/>
  <c r="H36" i="7"/>
  <c r="AL36" i="7"/>
  <c r="H34" i="7"/>
  <c r="AQ36" i="7"/>
  <c r="BM36" i="7"/>
  <c r="AL37" i="7"/>
  <c r="BJ36" i="7"/>
  <c r="BP36" i="7"/>
  <c r="Z37" i="7"/>
  <c r="AL34" i="7"/>
  <c r="AG37" i="7"/>
  <c r="AQ37" i="7"/>
  <c r="L36" i="7"/>
  <c r="T36" i="7"/>
  <c r="Z36" i="7"/>
  <c r="AG36" i="7"/>
  <c r="AU36" i="7"/>
  <c r="BD36" i="7"/>
  <c r="T35" i="7"/>
  <c r="Z35" i="7"/>
  <c r="AG35" i="7"/>
  <c r="AQ35" i="7"/>
  <c r="AU35" i="7"/>
  <c r="BD35" i="7"/>
  <c r="BM35" i="7"/>
  <c r="L34" i="7"/>
  <c r="L37" i="7"/>
  <c r="T37" i="7"/>
  <c r="AU37" i="7"/>
  <c r="BD37" i="7"/>
  <c r="E34" i="7" l="1"/>
  <c r="E35" i="7"/>
  <c r="E36" i="7"/>
  <c r="E37" i="7"/>
  <c r="BM31" i="7"/>
  <c r="BP33" i="7"/>
  <c r="BP39" i="7"/>
  <c r="Q30" i="7" l="1"/>
  <c r="BM32" i="7"/>
  <c r="BJ30" i="7"/>
  <c r="H29" i="7"/>
  <c r="AQ31" i="7"/>
  <c r="BM28" i="7"/>
  <c r="Q29" i="7"/>
  <c r="H32" i="7"/>
  <c r="Q32" i="7"/>
  <c r="BP29" i="7"/>
  <c r="Z30" i="7"/>
  <c r="L31" i="7"/>
  <c r="T31" i="7"/>
  <c r="BJ29" i="7"/>
  <c r="AL29" i="7"/>
  <c r="Q28" i="7"/>
  <c r="BJ28" i="7"/>
  <c r="L29" i="7"/>
  <c r="T29" i="7"/>
  <c r="H30" i="7"/>
  <c r="AL30" i="7"/>
  <c r="BP30" i="7"/>
  <c r="H31" i="7"/>
  <c r="Q31" i="7"/>
  <c r="AU31" i="7"/>
  <c r="AG32" i="7"/>
  <c r="AQ32" i="7"/>
  <c r="Z29" i="7"/>
  <c r="AG29" i="7"/>
  <c r="AQ29" i="7"/>
  <c r="AU29" i="7"/>
  <c r="AL28" i="7"/>
  <c r="BP28" i="7"/>
  <c r="AQ28" i="7"/>
  <c r="BD29" i="7"/>
  <c r="BM29" i="7"/>
  <c r="Z31" i="7"/>
  <c r="AG31" i="7"/>
  <c r="BJ31" i="7"/>
  <c r="AG28" i="7"/>
  <c r="AU28" i="7"/>
  <c r="BD28" i="7"/>
  <c r="T28" i="7"/>
  <c r="L28" i="7"/>
  <c r="BJ27" i="7"/>
  <c r="L32" i="7"/>
  <c r="T32" i="7"/>
  <c r="Z32" i="7"/>
  <c r="AL32" i="7"/>
  <c r="AU32" i="7"/>
  <c r="BJ32" i="7"/>
  <c r="AL31" i="7"/>
  <c r="BP31" i="7"/>
  <c r="BD31" i="7"/>
  <c r="T30" i="7"/>
  <c r="BD30" i="7"/>
  <c r="Z28" i="7"/>
  <c r="L30" i="7"/>
  <c r="AG30" i="7"/>
  <c r="AQ30" i="7"/>
  <c r="AU30" i="7"/>
  <c r="BM30" i="7"/>
  <c r="BD32" i="7"/>
  <c r="BP32" i="7"/>
  <c r="BM27" i="7"/>
  <c r="AQ27" i="7"/>
  <c r="Z27" i="7"/>
  <c r="T27" i="7"/>
  <c r="L27" i="7"/>
  <c r="BD27" i="7"/>
  <c r="H28" i="7"/>
  <c r="BP27" i="7"/>
  <c r="AL27" i="7"/>
  <c r="Q27" i="7"/>
  <c r="H27" i="7"/>
  <c r="C13" i="7"/>
  <c r="D13" i="7"/>
  <c r="F13" i="7"/>
  <c r="G13" i="7"/>
  <c r="C14" i="7"/>
  <c r="D14" i="7"/>
  <c r="F14" i="7"/>
  <c r="G14" i="7"/>
  <c r="C15" i="7"/>
  <c r="D15" i="7"/>
  <c r="F15" i="7"/>
  <c r="G15" i="7"/>
  <c r="C16" i="7"/>
  <c r="D16" i="7"/>
  <c r="F16" i="7"/>
  <c r="G16" i="7"/>
  <c r="C17" i="7"/>
  <c r="D17" i="7"/>
  <c r="F17" i="7"/>
  <c r="G17" i="7"/>
  <c r="C18" i="7"/>
  <c r="D18" i="7"/>
  <c r="F18" i="7"/>
  <c r="G18" i="7"/>
  <c r="C19" i="7"/>
  <c r="D19" i="7"/>
  <c r="F19" i="7"/>
  <c r="G19" i="7"/>
  <c r="C20" i="7"/>
  <c r="D20" i="7"/>
  <c r="F20" i="7"/>
  <c r="G20" i="7"/>
  <c r="C21" i="7"/>
  <c r="D21" i="7"/>
  <c r="F21" i="7"/>
  <c r="G21" i="7"/>
  <c r="C22" i="7"/>
  <c r="D22" i="7"/>
  <c r="F22" i="7"/>
  <c r="G22" i="7"/>
  <c r="C23" i="7"/>
  <c r="D23" i="7"/>
  <c r="F23" i="7"/>
  <c r="G23" i="7"/>
  <c r="C24" i="7"/>
  <c r="D24" i="7"/>
  <c r="F24" i="7"/>
  <c r="G24" i="7"/>
  <c r="C25" i="7"/>
  <c r="D25" i="7"/>
  <c r="F25" i="7"/>
  <c r="G25" i="7"/>
  <c r="C26" i="7"/>
  <c r="D26" i="7"/>
  <c r="F26" i="7"/>
  <c r="G26" i="7"/>
  <c r="C27" i="7"/>
  <c r="D27" i="7"/>
  <c r="F27" i="7"/>
  <c r="G27" i="7"/>
  <c r="C28" i="7"/>
  <c r="D28" i="7"/>
  <c r="F28" i="7"/>
  <c r="G28" i="7"/>
  <c r="BJ16" i="7" l="1"/>
  <c r="H24" i="7"/>
  <c r="Q24" i="7"/>
  <c r="Q18" i="7"/>
  <c r="H21" i="7"/>
  <c r="Q21" i="7"/>
  <c r="BJ21" i="7"/>
  <c r="BJ24" i="7"/>
  <c r="Q26" i="7"/>
  <c r="BJ22" i="7"/>
  <c r="BJ25" i="7"/>
  <c r="BJ15" i="7"/>
  <c r="BM19" i="7"/>
  <c r="BP26" i="7"/>
  <c r="BP16" i="7"/>
  <c r="H18" i="7"/>
  <c r="Q19" i="7"/>
  <c r="AL21" i="7"/>
  <c r="BP21" i="7"/>
  <c r="AL24" i="7"/>
  <c r="BP24" i="7"/>
  <c r="BJ23" i="7"/>
  <c r="H25" i="7"/>
  <c r="AL25" i="7"/>
  <c r="BP25" i="7"/>
  <c r="BM26" i="7"/>
  <c r="BJ18" i="7"/>
  <c r="H13" i="7"/>
  <c r="AL13" i="7"/>
  <c r="BP13" i="7"/>
  <c r="Q14" i="7"/>
  <c r="AG14" i="7"/>
  <c r="AU14" i="7"/>
  <c r="BJ14" i="7"/>
  <c r="BM15" i="7"/>
  <c r="L16" i="7"/>
  <c r="AQ16" i="7"/>
  <c r="H17" i="7"/>
  <c r="Q17" i="7"/>
  <c r="AL17" i="7"/>
  <c r="BJ17" i="7"/>
  <c r="BP17" i="7"/>
  <c r="BM18" i="7"/>
  <c r="H19" i="7"/>
  <c r="T19" i="7"/>
  <c r="AQ19" i="7"/>
  <c r="BD19" i="7"/>
  <c r="H20" i="7"/>
  <c r="Q20" i="7"/>
  <c r="AL20" i="7"/>
  <c r="BJ20" i="7"/>
  <c r="BP20" i="7"/>
  <c r="H22" i="7"/>
  <c r="L22" i="7"/>
  <c r="AQ22" i="7"/>
  <c r="H23" i="7"/>
  <c r="Q23" i="7"/>
  <c r="AL23" i="7"/>
  <c r="BP23" i="7"/>
  <c r="AU24" i="7"/>
  <c r="BD24" i="7"/>
  <c r="AQ25" i="7"/>
  <c r="AL26" i="7"/>
  <c r="AU26" i="7"/>
  <c r="BD26" i="7"/>
  <c r="BJ26" i="7"/>
  <c r="Q13" i="7"/>
  <c r="Q25" i="7"/>
  <c r="AQ26" i="7"/>
  <c r="BJ13" i="7"/>
  <c r="AQ14" i="7"/>
  <c r="BM14" i="7"/>
  <c r="Z15" i="7"/>
  <c r="AQ15" i="7"/>
  <c r="H16" i="7"/>
  <c r="AL16" i="7"/>
  <c r="AU17" i="7"/>
  <c r="AQ18" i="7"/>
  <c r="AU18" i="7"/>
  <c r="Z20" i="7"/>
  <c r="AU21" i="7"/>
  <c r="AL22" i="7"/>
  <c r="BP22" i="7"/>
  <c r="AU23" i="7"/>
  <c r="BD14" i="7"/>
  <c r="Q16" i="7"/>
  <c r="T17" i="7"/>
  <c r="BD17" i="7"/>
  <c r="Q22" i="7"/>
  <c r="L23" i="7"/>
  <c r="Z13" i="7"/>
  <c r="AQ17" i="7"/>
  <c r="BM17" i="7"/>
  <c r="AQ20" i="7"/>
  <c r="BM20" i="7"/>
  <c r="AQ23" i="7"/>
  <c r="BM23" i="7"/>
  <c r="AU22" i="7"/>
  <c r="T26" i="7"/>
  <c r="E32" i="7"/>
  <c r="L26" i="7"/>
  <c r="E29" i="7"/>
  <c r="E28" i="7"/>
  <c r="AG26" i="7"/>
  <c r="T14" i="7"/>
  <c r="L13" i="7"/>
  <c r="T13" i="7"/>
  <c r="AG13" i="7"/>
  <c r="AQ13" i="7"/>
  <c r="AU13" i="7"/>
  <c r="BD13" i="7"/>
  <c r="BM13" i="7"/>
  <c r="H14" i="7"/>
  <c r="AL14" i="7"/>
  <c r="BP14" i="7"/>
  <c r="H15" i="7"/>
  <c r="Q15" i="7"/>
  <c r="AG15" i="7"/>
  <c r="AL15" i="7"/>
  <c r="AU15" i="7"/>
  <c r="BP15" i="7"/>
  <c r="T16" i="7"/>
  <c r="Z16" i="7"/>
  <c r="AG16" i="7"/>
  <c r="AU16" i="7"/>
  <c r="BD16" i="7"/>
  <c r="BM16" i="7"/>
  <c r="T22" i="7"/>
  <c r="Z22" i="7"/>
  <c r="AG22" i="7"/>
  <c r="BD22" i="7"/>
  <c r="BM22" i="7"/>
  <c r="Z25" i="7"/>
  <c r="AG25" i="7"/>
  <c r="AU25" i="7"/>
  <c r="BD25" i="7"/>
  <c r="BM25" i="7"/>
  <c r="H26" i="7"/>
  <c r="E30" i="7"/>
  <c r="L15" i="7"/>
  <c r="T15" i="7"/>
  <c r="BD15" i="7"/>
  <c r="L18" i="7"/>
  <c r="T18" i="7"/>
  <c r="Z18" i="7"/>
  <c r="AG18" i="7"/>
  <c r="AL18" i="7"/>
  <c r="BD18" i="7"/>
  <c r="BP18" i="7"/>
  <c r="L24" i="7"/>
  <c r="L21" i="7"/>
  <c r="T21" i="7"/>
  <c r="Z21" i="7"/>
  <c r="AG21" i="7"/>
  <c r="AQ21" i="7"/>
  <c r="BD21" i="7"/>
  <c r="BM21" i="7"/>
  <c r="T24" i="7"/>
  <c r="Z24" i="7"/>
  <c r="AG24" i="7"/>
  <c r="AQ24" i="7"/>
  <c r="BM24" i="7"/>
  <c r="Z26" i="7"/>
  <c r="E31" i="7"/>
  <c r="Z14" i="7"/>
  <c r="L17" i="7"/>
  <c r="Z17" i="7"/>
  <c r="AG17" i="7"/>
  <c r="L20" i="7"/>
  <c r="T20" i="7"/>
  <c r="AG20" i="7"/>
  <c r="AU20" i="7"/>
  <c r="BD20" i="7"/>
  <c r="T23" i="7"/>
  <c r="Z23" i="7"/>
  <c r="AG23" i="7"/>
  <c r="BD23" i="7"/>
  <c r="L14" i="7"/>
  <c r="L19" i="7"/>
  <c r="Z19" i="7"/>
  <c r="AG19" i="7"/>
  <c r="AL19" i="7"/>
  <c r="AU19" i="7"/>
  <c r="BJ19" i="7"/>
  <c r="BP19" i="7"/>
  <c r="L25" i="7"/>
  <c r="T25" i="7"/>
  <c r="AG27" i="7"/>
  <c r="AU27" i="7"/>
  <c r="B28" i="7" l="1"/>
  <c r="BM12" i="7"/>
  <c r="AG12" i="7"/>
  <c r="T12" i="7"/>
  <c r="L12" i="7"/>
  <c r="E25" i="7"/>
  <c r="E23" i="7"/>
  <c r="E17" i="7"/>
  <c r="E18" i="7"/>
  <c r="E26" i="7"/>
  <c r="E27" i="7"/>
  <c r="AL12" i="7"/>
  <c r="E16" i="7"/>
  <c r="AQ12" i="7"/>
  <c r="E24" i="7"/>
  <c r="E19" i="7"/>
  <c r="E13" i="7"/>
  <c r="E22" i="7"/>
  <c r="E21" i="7"/>
  <c r="Q12" i="7"/>
  <c r="Z12" i="7"/>
  <c r="AU12" i="7"/>
  <c r="E20" i="7"/>
  <c r="E14" i="7"/>
  <c r="E15" i="7"/>
  <c r="BP12" i="7"/>
  <c r="B27" i="7" l="1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H12" i="7"/>
  <c r="D37" i="7" l="1"/>
  <c r="C37" i="7"/>
  <c r="D36" i="7"/>
  <c r="C36" i="7"/>
  <c r="D35" i="7"/>
  <c r="C35" i="7"/>
  <c r="D34" i="7"/>
  <c r="C34" i="7"/>
  <c r="C33" i="7"/>
  <c r="D33" i="7"/>
  <c r="BJ39" i="7"/>
  <c r="AL39" i="7"/>
  <c r="BD39" i="7" l="1"/>
  <c r="BM39" i="7"/>
  <c r="AU39" i="7"/>
  <c r="Q39" i="7"/>
  <c r="Z39" i="7"/>
  <c r="AG39" i="7"/>
  <c r="AQ39" i="7"/>
  <c r="H39" i="7"/>
  <c r="T39" i="7"/>
  <c r="D39" i="7"/>
  <c r="C39" i="7"/>
  <c r="L39" i="7"/>
  <c r="G12" i="7"/>
  <c r="F12" i="7"/>
  <c r="D38" i="7"/>
  <c r="C38" i="7"/>
  <c r="BM33" i="7"/>
  <c r="D32" i="7"/>
  <c r="C32" i="7"/>
  <c r="D31" i="7"/>
  <c r="C31" i="7"/>
  <c r="D30" i="7"/>
  <c r="C30" i="7"/>
  <c r="D29" i="7"/>
  <c r="C29" i="7"/>
  <c r="G32" i="7"/>
  <c r="F32" i="7"/>
  <c r="G31" i="7"/>
  <c r="F31" i="7"/>
  <c r="G30" i="7"/>
  <c r="F30" i="7"/>
  <c r="G29" i="7"/>
  <c r="F29" i="7"/>
  <c r="D12" i="7"/>
  <c r="C12" i="7"/>
  <c r="G11" i="7"/>
  <c r="H11" i="7" s="1"/>
  <c r="I11" i="7" s="1"/>
  <c r="J11" i="7" s="1"/>
  <c r="K11" i="7" s="1"/>
  <c r="L11" i="7" s="1"/>
  <c r="M11" i="7" s="1"/>
  <c r="N11" i="7" s="1"/>
  <c r="O11" i="7" s="1"/>
  <c r="P11" i="7" s="1"/>
  <c r="Q11" i="7" s="1"/>
  <c r="R11" i="7" s="1"/>
  <c r="S11" i="7" s="1"/>
  <c r="T11" i="7" s="1"/>
  <c r="U11" i="7" s="1"/>
  <c r="V11" i="7" s="1"/>
  <c r="W11" i="7" s="1"/>
  <c r="X11" i="7" s="1"/>
  <c r="Y11" i="7" s="1"/>
  <c r="Z11" i="7" s="1"/>
  <c r="AA11" i="7" s="1"/>
  <c r="AB11" i="7" s="1"/>
  <c r="AC11" i="7" s="1"/>
  <c r="AD11" i="7" s="1"/>
  <c r="AE11" i="7" s="1"/>
  <c r="AF11" i="7" s="1"/>
  <c r="AG11" i="7" s="1"/>
  <c r="AH11" i="7" s="1"/>
  <c r="AI11" i="7" s="1"/>
  <c r="AJ11" i="7" s="1"/>
  <c r="AK11" i="7" s="1"/>
  <c r="AL11" i="7" s="1"/>
  <c r="AM11" i="7" s="1"/>
  <c r="AN11" i="7" s="1"/>
  <c r="AO11" i="7" s="1"/>
  <c r="AP11" i="7" s="1"/>
  <c r="AQ11" i="7" s="1"/>
  <c r="AR11" i="7" s="1"/>
  <c r="AS11" i="7" s="1"/>
  <c r="AT11" i="7" s="1"/>
  <c r="AU11" i="7" s="1"/>
  <c r="AV11" i="7" s="1"/>
  <c r="AW11" i="7" s="1"/>
  <c r="AX11" i="7" s="1"/>
  <c r="AY11" i="7" s="1"/>
  <c r="AZ11" i="7" s="1"/>
  <c r="BA11" i="7" s="1"/>
  <c r="BB11" i="7" s="1"/>
  <c r="BC11" i="7" s="1"/>
  <c r="BD11" i="7" s="1"/>
  <c r="BE11" i="7" s="1"/>
  <c r="BF11" i="7" s="1"/>
  <c r="BG11" i="7" s="1"/>
  <c r="BH11" i="7" s="1"/>
  <c r="BI11" i="7" s="1"/>
  <c r="BJ11" i="7" s="1"/>
  <c r="BK11" i="7" s="1"/>
  <c r="BL11" i="7" s="1"/>
  <c r="BM11" i="7" s="1"/>
  <c r="BN11" i="7" s="1"/>
  <c r="BO11" i="7" s="1"/>
  <c r="BP11" i="7" s="1"/>
  <c r="BQ11" i="7" s="1"/>
  <c r="BR11" i="7" s="1"/>
  <c r="BS11" i="7" s="1"/>
  <c r="BT11" i="7" s="1"/>
  <c r="E39" i="7" l="1"/>
  <c r="AL33" i="7"/>
  <c r="Q33" i="7"/>
  <c r="L33" i="7"/>
  <c r="T33" i="7"/>
  <c r="BJ33" i="7"/>
  <c r="BD33" i="7"/>
  <c r="AU33" i="7"/>
  <c r="H33" i="7"/>
  <c r="Z33" i="7"/>
  <c r="AG33" i="7"/>
  <c r="AQ33" i="7"/>
  <c r="H38" i="7"/>
  <c r="BD12" i="7"/>
  <c r="BJ12" i="7"/>
  <c r="E12" i="7" l="1"/>
  <c r="E33" i="7"/>
  <c r="E38" i="7"/>
  <c r="B39" i="7"/>
  <c r="B32" i="7"/>
  <c r="B37" i="7"/>
  <c r="B31" i="7"/>
  <c r="B30" i="7"/>
  <c r="B36" i="7"/>
  <c r="B35" i="7"/>
  <c r="B34" i="7"/>
  <c r="B29" i="7"/>
  <c r="B12" i="7" l="1"/>
  <c r="B38" i="7"/>
  <c r="B33" i="7"/>
  <c r="P40" i="7" l="1"/>
  <c r="AP40" i="7" l="1"/>
  <c r="W40" i="7"/>
  <c r="BF40" i="7"/>
  <c r="I40" i="7"/>
  <c r="AF40" i="7"/>
  <c r="V40" i="7"/>
  <c r="AV40" i="7"/>
  <c r="BK40" i="7"/>
  <c r="AC40" i="7"/>
  <c r="N40" i="7"/>
  <c r="AB40" i="7"/>
  <c r="BT40" i="7"/>
  <c r="AW40" i="7"/>
  <c r="O40" i="7"/>
  <c r="AR40" i="7"/>
  <c r="X40" i="7"/>
  <c r="BH40" i="7"/>
  <c r="BN40" i="7"/>
  <c r="R40" i="7"/>
  <c r="AZ40" i="7"/>
  <c r="BL40" i="7"/>
  <c r="Y40" i="7"/>
  <c r="BA40" i="7"/>
  <c r="AJ40" i="7"/>
  <c r="AY40" i="7"/>
  <c r="S40" i="7"/>
  <c r="AA40" i="7"/>
  <c r="AK40" i="7"/>
  <c r="AE40" i="7"/>
  <c r="BS40" i="7"/>
  <c r="BQ40" i="7"/>
  <c r="AM40" i="7"/>
  <c r="AX40" i="7"/>
  <c r="AT40" i="7"/>
  <c r="BE40" i="7"/>
  <c r="BI40" i="7"/>
  <c r="AI40" i="7"/>
  <c r="BR40" i="7"/>
  <c r="BO40" i="7"/>
  <c r="AN40" i="7"/>
  <c r="AS40" i="7"/>
  <c r="J40" i="7"/>
  <c r="M40" i="7"/>
  <c r="BB40" i="7"/>
  <c r="K40" i="7"/>
  <c r="U40" i="7"/>
  <c r="BC40" i="7"/>
  <c r="AO40" i="7"/>
  <c r="BG40" i="7"/>
  <c r="AD40" i="7"/>
  <c r="AH40" i="7"/>
  <c r="L40" i="7" l="1"/>
  <c r="T40" i="7"/>
  <c r="BM40" i="7"/>
  <c r="Z40" i="7"/>
  <c r="AL40" i="7"/>
  <c r="BP40" i="7"/>
  <c r="AQ40" i="7"/>
  <c r="H40" i="7"/>
  <c r="AG40" i="7"/>
  <c r="Q40" i="7"/>
  <c r="AU40" i="7"/>
  <c r="BD40" i="7"/>
  <c r="BJ40" i="7"/>
  <c r="E40" i="7" l="1"/>
  <c r="B40" i="7" s="1"/>
</calcChain>
</file>

<file path=xl/sharedStrings.xml><?xml version="1.0" encoding="utf-8"?>
<sst xmlns="http://schemas.openxmlformats.org/spreadsheetml/2006/main" count="379" uniqueCount="249">
  <si>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</si>
  <si>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</si>
  <si>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</si>
  <si>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</si>
  <si>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</si>
  <si>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</si>
  <si>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</si>
  <si>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</si>
  <si>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</si>
  <si>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01</t>
  </si>
  <si>
    <t>Produtos alimentares e bebidas não alcoólicas</t>
  </si>
  <si>
    <t>011</t>
  </si>
  <si>
    <t>Produtos alimentares</t>
  </si>
  <si>
    <t>012</t>
  </si>
  <si>
    <t>Bebidas não alcoólicas</t>
  </si>
  <si>
    <t>02</t>
  </si>
  <si>
    <t>Bebidas alcoólicas, tabaco e narcóticos</t>
  </si>
  <si>
    <t>021</t>
  </si>
  <si>
    <t>Bebidas alcoólicas</t>
  </si>
  <si>
    <t>022</t>
  </si>
  <si>
    <t>Tabaco</t>
  </si>
  <si>
    <t>023</t>
  </si>
  <si>
    <t>Narcóticos</t>
  </si>
  <si>
    <t>03</t>
  </si>
  <si>
    <t>Vestuário e calçado</t>
  </si>
  <si>
    <t>031</t>
  </si>
  <si>
    <t>Vestuário</t>
  </si>
  <si>
    <t>032</t>
  </si>
  <si>
    <t>Calçado</t>
  </si>
  <si>
    <t>04</t>
  </si>
  <si>
    <t>041</t>
  </si>
  <si>
    <t>042</t>
  </si>
  <si>
    <t>043</t>
  </si>
  <si>
    <t>044</t>
  </si>
  <si>
    <t>045</t>
  </si>
  <si>
    <t>05</t>
  </si>
  <si>
    <t>051</t>
  </si>
  <si>
    <t>052</t>
  </si>
  <si>
    <t>Têxteis de uso doméstico</t>
  </si>
  <si>
    <t>053</t>
  </si>
  <si>
    <t>054</t>
  </si>
  <si>
    <t>055</t>
  </si>
  <si>
    <t>Ferramentas e equipamento para casa e jardim</t>
  </si>
  <si>
    <t>056</t>
  </si>
  <si>
    <t>Bens e serviços para a manutenção corrente da habitação</t>
  </si>
  <si>
    <t>06</t>
  </si>
  <si>
    <t>Saúde</t>
  </si>
  <si>
    <t>061</t>
  </si>
  <si>
    <t>062</t>
  </si>
  <si>
    <t>063</t>
  </si>
  <si>
    <t>07</t>
  </si>
  <si>
    <t>Transportes</t>
  </si>
  <si>
    <t>071</t>
  </si>
  <si>
    <t>Aquisição de veículos</t>
  </si>
  <si>
    <t>072</t>
  </si>
  <si>
    <t>073</t>
  </si>
  <si>
    <t>08</t>
  </si>
  <si>
    <t>081</t>
  </si>
  <si>
    <t>082</t>
  </si>
  <si>
    <t>083</t>
  </si>
  <si>
    <t>09</t>
  </si>
  <si>
    <t>091</t>
  </si>
  <si>
    <t>092</t>
  </si>
  <si>
    <t>093</t>
  </si>
  <si>
    <t>094</t>
  </si>
  <si>
    <t>095</t>
  </si>
  <si>
    <t>Jornais, livros e artigos de papelaria</t>
  </si>
  <si>
    <t>096</t>
  </si>
  <si>
    <t>Férias organizadas</t>
  </si>
  <si>
    <t>101</t>
  </si>
  <si>
    <t>102</t>
  </si>
  <si>
    <t>103</t>
  </si>
  <si>
    <t>Ensino pós-secundário não superior</t>
  </si>
  <si>
    <t>104</t>
  </si>
  <si>
    <t>Ensino superior</t>
  </si>
  <si>
    <t>105</t>
  </si>
  <si>
    <t>111</t>
  </si>
  <si>
    <t>112</t>
  </si>
  <si>
    <t>Serviços de alojamento</t>
  </si>
  <si>
    <t>121</t>
  </si>
  <si>
    <t>Cuidados pessoais</t>
  </si>
  <si>
    <t>122</t>
  </si>
  <si>
    <t>Seguros</t>
  </si>
  <si>
    <t>1=2-3+4</t>
  </si>
  <si>
    <t>Anual</t>
  </si>
  <si>
    <t>Ano</t>
  </si>
  <si>
    <t>INE, Contas Nacionais</t>
  </si>
  <si>
    <t>Year</t>
  </si>
  <si>
    <t>Metadata of the table</t>
  </si>
  <si>
    <t>Frequency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</si>
  <si>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</si>
  <si>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</si>
  <si>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</si>
  <si>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</si>
  <si>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</si>
  <si>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</si>
  <si>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</si>
  <si>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</si>
  <si>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</si>
  <si>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Annual</t>
  </si>
  <si>
    <t>Statistics Portugal, National Accounts</t>
  </si>
  <si>
    <t>Food and non-alcoholic beverages</t>
  </si>
  <si>
    <t>Food</t>
  </si>
  <si>
    <t>Non-alcoholic beverages</t>
  </si>
  <si>
    <t>Alcoholic beverages, tobacco and narcotics</t>
  </si>
  <si>
    <t>Alcoholic beverages</t>
  </si>
  <si>
    <t>Tobacco</t>
  </si>
  <si>
    <t>Narcotics</t>
  </si>
  <si>
    <t>Clothing and footwear</t>
  </si>
  <si>
    <t>Clothing</t>
  </si>
  <si>
    <t>Footwear</t>
  </si>
  <si>
    <t>Housing, water, electricity, gas and other fuels</t>
  </si>
  <si>
    <t>Water supply and miscellaneous services relating to the dwelling</t>
  </si>
  <si>
    <t>Electricity, gas and other fuels</t>
  </si>
  <si>
    <t>Furnishings, household equipment and routine household maintenance</t>
  </si>
  <si>
    <t>Household textiles</t>
  </si>
  <si>
    <t>Household appliances</t>
  </si>
  <si>
    <t>Glassware, tableware and household utensils</t>
  </si>
  <si>
    <t>Tools and equipment for house and garden</t>
  </si>
  <si>
    <t>Goods and services for routine household maintenance</t>
  </si>
  <si>
    <t>Health</t>
  </si>
  <si>
    <t>Transport</t>
  </si>
  <si>
    <t>Purchase of vehicles</t>
  </si>
  <si>
    <t>Operation of personal transport equipment</t>
  </si>
  <si>
    <t>Newspapers, books and stationery</t>
  </si>
  <si>
    <t>Package holidays</t>
  </si>
  <si>
    <t>Secondary education</t>
  </si>
  <si>
    <t>Post-secondary non-tertiary education</t>
  </si>
  <si>
    <t>Tertiary education</t>
  </si>
  <si>
    <t>Accommodation services</t>
  </si>
  <si>
    <t>Personal care</t>
  </si>
  <si>
    <t>Social protection</t>
  </si>
  <si>
    <t>Insurance</t>
  </si>
  <si>
    <t>Descrição</t>
  </si>
  <si>
    <t>Description</t>
  </si>
  <si>
    <t>Consumo final de não residentes no território económico</t>
  </si>
  <si>
    <t>Consumo final de residentes fora do território económico</t>
  </si>
  <si>
    <t>Purchases on the domestic territory by non-residents</t>
  </si>
  <si>
    <t>Direct purchases abroad by residents</t>
  </si>
  <si>
    <t>Consumo final das famílias residentes</t>
  </si>
  <si>
    <t>Final consumption expenditure of resident households</t>
  </si>
  <si>
    <t>Consumo final das famílias no território económico</t>
  </si>
  <si>
    <t xml:space="preserve">Household expenditure  on the economic territory </t>
  </si>
  <si>
    <t>Código/Code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</si>
  <si>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</si>
  <si>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Euro</t>
  </si>
  <si>
    <t>Data da última atualização</t>
  </si>
  <si>
    <t>Data da próxima atualização</t>
  </si>
  <si>
    <t>Habitação, água, eletricidade, gás e outros combustíveis</t>
  </si>
  <si>
    <t>Eletricidade, gás e outros combustíveis</t>
  </si>
  <si>
    <t>A definir</t>
  </si>
  <si>
    <t>To define</t>
  </si>
  <si>
    <t>Proteção social</t>
  </si>
  <si>
    <t>Sistema Europeu de Contas 2010</t>
  </si>
  <si>
    <t>European System of Accounts 2010</t>
  </si>
  <si>
    <t>Consumo final das famílias no território económico em bens duradouros</t>
  </si>
  <si>
    <t>Consumo final das famílias no território económico em bens não duradouros e serviços</t>
  </si>
  <si>
    <t>Household expenditure  on the economic territory in durable goods</t>
  </si>
  <si>
    <t>Household expenditure  on the economic territory in non-durable goods and services</t>
  </si>
  <si>
    <t>x</t>
  </si>
  <si>
    <t>Quadro A.1.1.1.1 - Consumo privado (despesa de consumo final) das famílias no território económico por função (COICOP) (preços correntes; anual)</t>
  </si>
  <si>
    <t>Table A.1.1.1.1 - Private consumption (final consumption expenditure) of households on the economic territory by purpose (COICOP) (current prices; annual)</t>
  </si>
  <si>
    <t>013</t>
  </si>
  <si>
    <t>Serviços de produção de álcool</t>
  </si>
  <si>
    <t>024</t>
  </si>
  <si>
    <t>Abastecimento de água e serviços diversos relacionados com a habitação</t>
  </si>
  <si>
    <t>Eletrodomésticos</t>
  </si>
  <si>
    <t>Vidros, loiças e outros utensílios de uso doméstico</t>
  </si>
  <si>
    <t>Medicamentos e produtos de saúde</t>
  </si>
  <si>
    <t>064</t>
  </si>
  <si>
    <t>Outros serviços de saúde</t>
  </si>
  <si>
    <t>Utilização de equipamento para transporte pessoal</t>
  </si>
  <si>
    <t>Serviços de transporte de passageiros</t>
  </si>
  <si>
    <t>074</t>
  </si>
  <si>
    <t>Informação e comunicação</t>
  </si>
  <si>
    <t>Equipamento de informação e comunicação</t>
  </si>
  <si>
    <t>Serviços de informação e comunicação</t>
  </si>
  <si>
    <t>Lazer, recreação, desporto e cultura</t>
  </si>
  <si>
    <t>Serviços recreativos</t>
  </si>
  <si>
    <t>Bens culturais</t>
  </si>
  <si>
    <t>Serviços culturais</t>
  </si>
  <si>
    <t>097</t>
  </si>
  <si>
    <t>098</t>
  </si>
  <si>
    <t>Serviços de educação</t>
  </si>
  <si>
    <t>Ensino básico (3.° ciclo) e secundário</t>
  </si>
  <si>
    <t>Restaurantes e serviços de alojamento</t>
  </si>
  <si>
    <t>Serviços financeiros</t>
  </si>
  <si>
    <t>131</t>
  </si>
  <si>
    <t>132</t>
  </si>
  <si>
    <t>133</t>
  </si>
  <si>
    <t>139</t>
  </si>
  <si>
    <t>Information and communication</t>
  </si>
  <si>
    <t>Recreation, sport and culture</t>
  </si>
  <si>
    <t>Education services</t>
  </si>
  <si>
    <t>Restaurants and accommodation services</t>
  </si>
  <si>
    <t>Insurance and financial services</t>
  </si>
  <si>
    <t>Personal care, social protection and miscellaneous goods and services</t>
  </si>
  <si>
    <t>Services for processing primary goods for food and non-alcoholic beverages</t>
  </si>
  <si>
    <t>Alcohol production services</t>
  </si>
  <si>
    <t>Actual rental payments made for housing</t>
  </si>
  <si>
    <t>Imputed rental payments for housing</t>
  </si>
  <si>
    <t>Maintenance, repair and security of the dwelling</t>
  </si>
  <si>
    <t>Furniture, furnishings, and loose carpets</t>
  </si>
  <si>
    <t>Medicines and health products</t>
  </si>
  <si>
    <t>Outpatient care services</t>
  </si>
  <si>
    <t>Inpatient care services</t>
  </si>
  <si>
    <t>Other health services</t>
  </si>
  <si>
    <t>Passenger transport services</t>
  </si>
  <si>
    <t>Transport services for goods</t>
  </si>
  <si>
    <t>Information and communication equipment</t>
  </si>
  <si>
    <t>Software, excluding games</t>
  </si>
  <si>
    <t>Information and communication services</t>
  </si>
  <si>
    <t>Recreational durables</t>
  </si>
  <si>
    <t>Other recreational goods</t>
  </si>
  <si>
    <t>Garden products and pets</t>
  </si>
  <si>
    <t>Recreational services</t>
  </si>
  <si>
    <t>Cultural goods</t>
  </si>
  <si>
    <t>Cultural services</t>
  </si>
  <si>
    <t>Early childhood and primary education</t>
  </si>
  <si>
    <t>Education not defined by level</t>
  </si>
  <si>
    <t>Food and beverage serving services</t>
  </si>
  <si>
    <t>Financial services</t>
  </si>
  <si>
    <t>Other personal effects</t>
  </si>
  <si>
    <t>Other services</t>
  </si>
  <si>
    <t>4=7+11+...+67</t>
  </si>
  <si>
    <t>Base 2021</t>
  </si>
  <si>
    <t>Classificação do consumo individual das famílias por função (COICOP 2018) / Classification of Individual Consumption by Purpose for Households (COICOP 2018)</t>
  </si>
  <si>
    <t>Serviços de transformação de produtos de base em produtos alimentares e bebidas não alcoólicas</t>
  </si>
  <si>
    <t>Rendas efetivamente pagas pela habitação</t>
  </si>
  <si>
    <t>Rendas imputadas pagas pela habitação</t>
  </si>
  <si>
    <t>Manutenção, reparação e segurança da habitação</t>
  </si>
  <si>
    <t>Acessórios para o lar, equipamento doméstico e manutenção corrente da habitação</t>
  </si>
  <si>
    <t>Mobiliário, acessórios e tapetes</t>
  </si>
  <si>
    <t>Serviços de cuidados em regime ambulatório</t>
  </si>
  <si>
    <t>Serviços de cuidados com internamento</t>
  </si>
  <si>
    <t>Serviços de transporte de mercadorias</t>
  </si>
  <si>
    <t>Software, excluindo jogos</t>
  </si>
  <si>
    <t>Bens duradouros para lazer e recreação</t>
  </si>
  <si>
    <t>Outros bens para lazer e recreação</t>
  </si>
  <si>
    <t>Produtos para jardinagem e animais de estimação</t>
  </si>
  <si>
    <t>Educação pré-escolar e ensino básico (1.° e 2.° ciclos)</t>
  </si>
  <si>
    <t>Ensino não definível por níveis</t>
  </si>
  <si>
    <t>Serviços de restauração</t>
  </si>
  <si>
    <t>Serviços financeiros e de seguros</t>
  </si>
  <si>
    <t>Serviços de higiene e cuidados pessoais, proteção social e bens e serviços diversos</t>
  </si>
  <si>
    <t>Outros artigos pessoais</t>
  </si>
  <si>
    <t>Outros serviços</t>
  </si>
  <si>
    <t>2024Po</t>
  </si>
  <si>
    <t>27-02-2026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</si>
</sst>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_)"/>
    <numFmt numFmtId="165" formatCode="#,##0.0"/>
    <numFmt numFmtId="166" formatCode="#,###,##0.0"/>
    <numFmt numFmtId="167" formatCode="#,###,##0"/>
    <numFmt numFmtId="168" formatCode="#,##0.0000"/>
  </numFmts>
  <fonts count="44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sz val="7"/>
      <name val="Arial"/>
      <family val="2"/>
    </font>
    <font>
      <vertAlign val="superscript"/>
      <sz val="8"/>
      <name val="Arial"/>
      <family val="2"/>
    </font>
    <font>
      <b/>
      <sz val="8"/>
      <color indexed="53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sz val="8"/>
      <color indexed="40"/>
      <name val="Arial"/>
      <family val="2"/>
    </font>
    <font>
      <sz val="10"/>
      <color indexed="40"/>
      <name val="Arial"/>
      <family val="2"/>
    </font>
    <font>
      <i/>
      <sz val="8"/>
      <color indexed="4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sz val="8"/>
      <color indexed="4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9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/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/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 style="medium">
        <color indexed="17"/>
      </left>
      <right style="medium">
        <color indexed="17"/>
      </right>
      <top style="medium">
        <color indexed="17"/>
      </top>
      <bottom/>
      <diagonal/>
    </border>
    <border>
      <left style="medium">
        <color indexed="17"/>
      </left>
      <right style="medium">
        <color indexed="17"/>
      </right>
      <top/>
      <bottom/>
      <diagonal/>
    </border>
    <border>
      <left style="medium">
        <color indexed="17"/>
      </left>
      <right/>
      <top style="medium">
        <color indexed="17"/>
      </top>
      <bottom/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/>
      <bottom/>
      <diagonal/>
    </border>
  </borders>
  <cellStyleXfs count="53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1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</cellStyleXfs>
  <cellXfs count="75">
    <xf numFmtId="0" fontId="0" fillId="0" borderId="0" xfId="0"/>
    <xf numFmtId="0" fontId="28" fillId="25" borderId="0" xfId="0" applyFont="1" applyFill="1"/>
    <xf numFmtId="0" fontId="28" fillId="25" borderId="0" xfId="0" applyFont="1" applyFill="1" applyAlignment="1">
      <alignment vertical="center"/>
    </xf>
    <xf numFmtId="0" fontId="29" fillId="25" borderId="0" xfId="0" applyFont="1" applyFill="1" applyAlignment="1">
      <alignment horizontal="left" vertical="center"/>
    </xf>
    <xf numFmtId="0" fontId="28" fillId="25" borderId="0" xfId="0" applyFont="1" applyFill="1" applyAlignment="1">
      <alignment horizontal="center" vertical="center"/>
    </xf>
    <xf numFmtId="0" fontId="28" fillId="25" borderId="0" xfId="0" applyFont="1" applyFill="1" applyAlignment="1">
      <alignment horizontal="left" vertical="center"/>
    </xf>
    <xf numFmtId="0" fontId="31" fillId="25" borderId="0" xfId="0" applyFont="1" applyFill="1" applyAlignment="1">
      <alignment horizontal="left" vertical="center"/>
    </xf>
    <xf numFmtId="0" fontId="32" fillId="25" borderId="0" xfId="0" applyFont="1" applyFill="1" applyAlignment="1">
      <alignment vertical="center"/>
    </xf>
    <xf numFmtId="0" fontId="32" fillId="25" borderId="0" xfId="0" applyFont="1" applyFill="1"/>
    <xf numFmtId="0" fontId="33" fillId="25" borderId="0" xfId="0" applyFont="1" applyFill="1"/>
    <xf numFmtId="0" fontId="28" fillId="26" borderId="0" xfId="0" applyFont="1" applyFill="1" applyAlignment="1">
      <alignment horizontal="center" vertical="center"/>
    </xf>
    <xf numFmtId="0" fontId="34" fillId="27" borderId="14" xfId="0" applyFont="1" applyFill="1" applyBorder="1" applyAlignment="1">
      <alignment horizontal="center" vertical="center" wrapText="1"/>
    </xf>
    <xf numFmtId="0" fontId="34" fillId="27" borderId="15" xfId="0" applyFont="1" applyFill="1" applyBorder="1" applyAlignment="1">
      <alignment horizontal="center" vertical="center"/>
    </xf>
    <xf numFmtId="0" fontId="31" fillId="28" borderId="0" xfId="0" applyFont="1" applyFill="1" applyAlignment="1">
      <alignment vertical="top"/>
    </xf>
    <xf numFmtId="0" fontId="4" fillId="28" borderId="0" xfId="0" applyFont="1" applyFill="1"/>
    <xf numFmtId="0" fontId="2" fillId="28" borderId="0" xfId="0" applyFont="1" applyFill="1"/>
    <xf numFmtId="0" fontId="28" fillId="29" borderId="0" xfId="0" applyFont="1" applyFill="1"/>
    <xf numFmtId="0" fontId="0" fillId="30" borderId="0" xfId="0" applyFill="1"/>
    <xf numFmtId="0" fontId="3" fillId="30" borderId="0" xfId="0" applyFont="1" applyFill="1"/>
    <xf numFmtId="0" fontId="40" fillId="30" borderId="0" xfId="0" applyFont="1" applyFill="1"/>
    <xf numFmtId="0" fontId="0" fillId="30" borderId="0" xfId="0" applyFill="1" applyAlignment="1">
      <alignment vertical="center"/>
    </xf>
    <xf numFmtId="0" fontId="41" fillId="27" borderId="11" xfId="0" applyFont="1" applyFill="1" applyBorder="1" applyAlignment="1">
      <alignment horizontal="center" vertical="center" wrapText="1"/>
    </xf>
    <xf numFmtId="0" fontId="41" fillId="27" borderId="11" xfId="0" applyFont="1" applyFill="1" applyBorder="1" applyAlignment="1">
      <alignment horizontal="center" vertical="center"/>
    </xf>
    <xf numFmtId="0" fontId="41" fillId="30" borderId="1" xfId="0" applyFont="1" applyFill="1" applyBorder="1"/>
    <xf numFmtId="0" fontId="41" fillId="30" borderId="17" xfId="0" applyFont="1" applyFill="1" applyBorder="1" applyAlignment="1">
      <alignment horizontal="left" indent="1"/>
    </xf>
    <xf numFmtId="0" fontId="41" fillId="30" borderId="17" xfId="0" applyFont="1" applyFill="1" applyBorder="1"/>
    <xf numFmtId="0" fontId="41" fillId="30" borderId="17" xfId="0" applyFont="1" applyFill="1" applyBorder="1" applyAlignment="1">
      <alignment horizontal="left"/>
    </xf>
    <xf numFmtId="0" fontId="41" fillId="30" borderId="18" xfId="0" applyFont="1" applyFill="1" applyBorder="1" applyAlignment="1">
      <alignment horizontal="left" indent="1"/>
    </xf>
    <xf numFmtId="0" fontId="31" fillId="0" borderId="0" xfId="0" applyFont="1" applyAlignment="1">
      <alignment horizontal="left"/>
    </xf>
    <xf numFmtId="0" fontId="36" fillId="27" borderId="19" xfId="0" applyFont="1" applyFill="1" applyBorder="1" applyAlignment="1">
      <alignment vertical="center"/>
    </xf>
    <xf numFmtId="165" fontId="28" fillId="26" borderId="0" xfId="0" applyNumberFormat="1" applyFont="1" applyFill="1" applyAlignment="1">
      <alignment horizontal="right"/>
    </xf>
    <xf numFmtId="165" fontId="42" fillId="26" borderId="0" xfId="0" applyNumberFormat="1" applyFont="1" applyFill="1" applyAlignment="1">
      <alignment horizontal="right"/>
    </xf>
    <xf numFmtId="14" fontId="3" fillId="28" borderId="20" xfId="36" applyNumberFormat="1" applyFont="1" applyFill="1" applyBorder="1" applyAlignment="1" applyProtection="1">
      <alignment horizontal="left" vertical="center"/>
    </xf>
    <xf numFmtId="165" fontId="3" fillId="26" borderId="0" xfId="0" applyNumberFormat="1" applyFont="1" applyFill="1" applyAlignment="1">
      <alignment horizontal="right"/>
    </xf>
    <xf numFmtId="0" fontId="37" fillId="28" borderId="21" xfId="0" applyFont="1" applyFill="1" applyBorder="1" applyAlignment="1">
      <alignment horizontal="left" vertical="top"/>
    </xf>
    <xf numFmtId="0" fontId="38" fillId="28" borderId="16" xfId="36" applyFont="1" applyFill="1" applyBorder="1" applyAlignment="1" applyProtection="1">
      <alignment horizontal="left" vertical="center"/>
    </xf>
    <xf numFmtId="0" fontId="3" fillId="25" borderId="0" xfId="0" applyFont="1" applyFill="1" applyAlignment="1">
      <alignment horizontal="center" vertical="center"/>
    </xf>
    <xf numFmtId="49" fontId="3" fillId="28" borderId="20" xfId="0" applyNumberFormat="1" applyFont="1" applyFill="1" applyBorder="1" applyAlignment="1">
      <alignment horizontal="left" vertical="top"/>
    </xf>
    <xf numFmtId="49" fontId="3" fillId="28" borderId="20" xfId="36" applyNumberFormat="1" applyFont="1" applyFill="1" applyBorder="1" applyAlignment="1" applyProtection="1">
      <alignment horizontal="left" vertical="center"/>
    </xf>
    <xf numFmtId="166" fontId="3" fillId="26" borderId="0" xfId="0" applyNumberFormat="1" applyFont="1" applyFill="1" applyAlignment="1">
      <alignment horizontal="right"/>
    </xf>
    <xf numFmtId="166" fontId="3" fillId="25" borderId="0" xfId="0" applyNumberFormat="1" applyFont="1" applyFill="1" applyAlignment="1">
      <alignment horizontal="right"/>
    </xf>
    <xf numFmtId="0" fontId="3" fillId="25" borderId="0" xfId="0" applyFont="1" applyFill="1" applyAlignment="1">
      <alignment vertical="center"/>
    </xf>
    <xf numFmtId="0" fontId="3" fillId="28" borderId="20" xfId="0" applyFont="1" applyFill="1" applyBorder="1" applyAlignment="1">
      <alignment horizontal="left" vertical="center"/>
    </xf>
    <xf numFmtId="0" fontId="39" fillId="27" borderId="22" xfId="0" applyFont="1" applyFill="1" applyBorder="1" applyAlignment="1">
      <alignment horizontal="left" vertical="top"/>
    </xf>
    <xf numFmtId="0" fontId="39" fillId="27" borderId="23" xfId="0" applyFont="1" applyFill="1" applyBorder="1" applyAlignment="1">
      <alignment horizontal="left" vertical="top"/>
    </xf>
    <xf numFmtId="0" fontId="39" fillId="27" borderId="24" xfId="0" applyFont="1" applyFill="1" applyBorder="1" applyAlignment="1">
      <alignment horizontal="left" vertical="top"/>
    </xf>
    <xf numFmtId="0" fontId="38" fillId="28" borderId="20" xfId="36" applyFont="1" applyFill="1" applyBorder="1" applyAlignment="1" applyProtection="1">
      <alignment horizontal="left" vertical="center"/>
    </xf>
    <xf numFmtId="0" fontId="3" fillId="28" borderId="20" xfId="0" applyFont="1" applyFill="1" applyBorder="1" applyAlignment="1">
      <alignment horizontal="left" vertical="top"/>
    </xf>
    <xf numFmtId="0" fontId="3" fillId="28" borderId="0" xfId="0" applyFont="1" applyFill="1" applyAlignment="1">
      <alignment horizontal="left"/>
    </xf>
    <xf numFmtId="165" fontId="28" fillId="25" borderId="0" xfId="0" applyNumberFormat="1" applyFont="1" applyFill="1" applyAlignment="1">
      <alignment horizontal="center" vertical="center"/>
    </xf>
    <xf numFmtId="0" fontId="3" fillId="25" borderId="0" xfId="0" quotePrefix="1" applyFont="1" applyFill="1" applyAlignment="1">
      <alignment horizontal="center" vertical="center"/>
    </xf>
    <xf numFmtId="167" fontId="3" fillId="25" borderId="0" xfId="0" applyNumberFormat="1" applyFont="1" applyFill="1" applyAlignment="1">
      <alignment horizontal="right"/>
    </xf>
    <xf numFmtId="168" fontId="28" fillId="25" borderId="0" xfId="0" applyNumberFormat="1" applyFont="1" applyFill="1" applyAlignment="1">
      <alignment horizontal="center" vertical="center"/>
    </xf>
    <xf numFmtId="165" fontId="3" fillId="0" borderId="0" xfId="0" applyNumberFormat="1" applyFont="1" applyAlignment="1">
      <alignment horizontal="right"/>
    </xf>
    <xf numFmtId="0" fontId="43" fillId="25" borderId="0" xfId="0" applyFont="1" applyFill="1"/>
    <xf numFmtId="0" fontId="34" fillId="27" borderId="25" xfId="0" applyFont="1" applyFill="1" applyBorder="1" applyAlignment="1">
      <alignment horizontal="center" vertical="center"/>
    </xf>
    <xf numFmtId="0" fontId="34" fillId="27" borderId="26" xfId="0" applyFont="1" applyFill="1" applyBorder="1" applyAlignment="1">
      <alignment horizontal="center" vertical="center"/>
    </xf>
    <xf numFmtId="49" fontId="34" fillId="27" borderId="25" xfId="0" applyNumberFormat="1" applyFont="1" applyFill="1" applyBorder="1" applyAlignment="1">
      <alignment horizontal="center" vertical="center"/>
    </xf>
    <xf numFmtId="49" fontId="34" fillId="27" borderId="26" xfId="0" applyNumberFormat="1" applyFont="1" applyFill="1" applyBorder="1" applyAlignment="1">
      <alignment horizontal="center" vertical="center"/>
    </xf>
    <xf numFmtId="0" fontId="34" fillId="27" borderId="27" xfId="0" applyFont="1" applyFill="1" applyBorder="1" applyAlignment="1">
      <alignment horizontal="left" vertical="center"/>
    </xf>
    <xf numFmtId="0" fontId="35" fillId="27" borderId="28" xfId="0" applyFont="1" applyFill="1" applyBorder="1" applyAlignment="1">
      <alignment horizontal="left" vertical="center"/>
    </xf>
    <xf numFmtId="0" fontId="35" fillId="27" borderId="29" xfId="0" applyFont="1" applyFill="1" applyBorder="1" applyAlignment="1">
      <alignment horizontal="left" vertical="center"/>
    </xf>
    <xf numFmtId="0" fontId="35" fillId="27" borderId="15" xfId="0" applyFont="1" applyFill="1" applyBorder="1" applyAlignment="1">
      <alignment horizontal="left" vertical="center"/>
    </xf>
    <xf numFmtId="0" fontId="35" fillId="27" borderId="0" xfId="0" applyFont="1" applyFill="1" applyAlignment="1">
      <alignment horizontal="left" vertical="center"/>
    </xf>
    <xf numFmtId="0" fontId="35" fillId="27" borderId="30" xfId="0" applyFont="1" applyFill="1" applyBorder="1" applyAlignment="1">
      <alignment horizontal="left" vertical="center"/>
    </xf>
    <xf numFmtId="0" fontId="34" fillId="27" borderId="28" xfId="0" applyFont="1" applyFill="1" applyBorder="1" applyAlignment="1">
      <alignment horizontal="left" vertical="center"/>
    </xf>
    <xf numFmtId="0" fontId="34" fillId="27" borderId="29" xfId="0" applyFont="1" applyFill="1" applyBorder="1" applyAlignment="1">
      <alignment horizontal="left" vertical="center"/>
    </xf>
    <xf numFmtId="0" fontId="34" fillId="27" borderId="15" xfId="0" applyFont="1" applyFill="1" applyBorder="1" applyAlignment="1">
      <alignment horizontal="left" vertical="center"/>
    </xf>
    <xf numFmtId="0" fontId="34" fillId="27" borderId="0" xfId="0" applyFont="1" applyFill="1" applyAlignment="1">
      <alignment horizontal="left" vertical="center"/>
    </xf>
    <xf numFmtId="0" fontId="34" fillId="27" borderId="30" xfId="0" applyFont="1" applyFill="1" applyBorder="1" applyAlignment="1">
      <alignment horizontal="left" vertical="center"/>
    </xf>
    <xf numFmtId="0" fontId="34" fillId="27" borderId="25" xfId="0" applyFont="1" applyFill="1" applyBorder="1" applyAlignment="1">
      <alignment horizontal="center" vertical="center" wrapText="1"/>
    </xf>
    <xf numFmtId="0" fontId="34" fillId="27" borderId="26" xfId="0" applyFont="1" applyFill="1" applyBorder="1" applyAlignment="1">
      <alignment horizontal="center" vertical="center" wrapText="1"/>
    </xf>
    <xf numFmtId="0" fontId="36" fillId="27" borderId="26" xfId="0" applyFont="1" applyFill="1" applyBorder="1" applyAlignment="1">
      <alignment horizontal="center" vertical="center"/>
    </xf>
    <xf numFmtId="0" fontId="36" fillId="27" borderId="26" xfId="0" applyFont="1" applyFill="1" applyBorder="1" applyAlignment="1">
      <alignment horizontal="center" vertical="center" wrapText="1"/>
    </xf>
    <xf numFmtId="0" fontId="36" fillId="27" borderId="19" xfId="0" applyFont="1" applyFill="1" applyBorder="1" applyAlignment="1">
      <alignment horizontal="center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 3" xfId="42" xr:uid="{00000000-0005-0000-0000-00002A000000}"/>
    <cellStyle name="Note" xfId="43" builtinId="10" customBuiltin="1"/>
    <cellStyle name="NUMLINHA" xfId="44" xr:uid="{00000000-0005-0000-0000-00002C000000}"/>
    <cellStyle name="Output" xfId="45" builtinId="21" customBuiltin="1"/>
    <cellStyle name="QDTITULO" xfId="46" xr:uid="{00000000-0005-0000-0000-00002E000000}"/>
    <cellStyle name="Standard_WBBasis" xfId="47" xr:uid="{00000000-0005-0000-0000-00002F000000}"/>
    <cellStyle name="TITCOLUNA" xfId="48" xr:uid="{00000000-0005-0000-0000-000030000000}"/>
    <cellStyle name="Title" xfId="49" builtinId="15" customBuiltin="1"/>
    <cellStyle name="Total" xfId="50" builtinId="25" customBuiltin="1"/>
    <cellStyle name="Warning Text" xfId="51" builtinId="11" customBuiltin="1"/>
    <cellStyle name="WithoutLine" xfId="52" xr:uid="{00000000-0005-0000-0000-00003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1995_2009/QRE_Retrop_95_00.xlsx" TargetMode="External"/><Relationship Id="rId2" Type="http://schemas.openxmlformats.org/officeDocument/2006/relationships/externalLinkPath" Target="file:///R:\lsb\DCN_B21\RETROP_RAMOS\1995_2009\QRE_Retrop_95_00.xlsx" TargetMode="External"/><Relationship Id="rId1" Type="http://schemas.openxmlformats.org/officeDocument/2006/relationships/externalLinkPath" Target="/lsb/DCN_B21/RETROP_RAMOS/1995_2009/QRE_Retrop_95_00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4/QRE2014.xlsx" TargetMode="External"/><Relationship Id="rId2" Type="http://schemas.openxmlformats.org/officeDocument/2006/relationships/externalLinkPath" Target="file:///R:\lsb\DCN_B21\RETROP_RAMOS\2014\QRE2014.xlsx" TargetMode="External"/><Relationship Id="rId1" Type="http://schemas.openxmlformats.org/officeDocument/2006/relationships/externalLinkPath" Target="/lsb/DCN_B21/RETROP_RAMOS/2014/QRE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5/QRE2015.xlsx" TargetMode="External"/><Relationship Id="rId2" Type="http://schemas.openxmlformats.org/officeDocument/2006/relationships/externalLinkPath" Target="file:///R:\lsb\DCN_B21\RETROP_RAMOS\2015\QRE2015.xlsx" TargetMode="External"/><Relationship Id="rId1" Type="http://schemas.openxmlformats.org/officeDocument/2006/relationships/externalLinkPath" Target="/lsb/DCN_B21/RETROP_RAMOS/2015/QRE2015.xlsx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6/QERU2016.xlsx" TargetMode="External"/><Relationship Id="rId2" Type="http://schemas.openxmlformats.org/officeDocument/2006/relationships/externalLinkPath" Target="file:///R:\lsb\DCN_B21\RETROP_RAMOS\2016\QERU2016.xlsx" TargetMode="External"/><Relationship Id="rId1" Type="http://schemas.openxmlformats.org/officeDocument/2006/relationships/externalLinkPath" Target="/lsb/DCN_B21/RETROP_RAMOS/2016/QERU2016.xlsx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_Analise/Consumo_por_objectivo_2017_2021.xlsx" TargetMode="External"/><Relationship Id="rId2" Type="http://schemas.openxmlformats.org/officeDocument/2006/relationships/externalLinkPath" Target="file:///R:\lsb\DCN_B21\RETROP_RAMOS\2_Analise\Consumo_por_objectivo_2017_2021.xlsx" TargetMode="External"/><Relationship Id="rId1" Type="http://schemas.openxmlformats.org/officeDocument/2006/relationships/externalLinkPath" Target="/lsb/DCN_B21/RETROP_RAMOS/2_Analise/Consumo_por_objectivo_2017_2021.xlsx" TargetMode="External"/></Relationships>
</file>

<file path=xl/externalLinks/_rels/externalLink1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7/QERU2017.xlsx" TargetMode="External"/><Relationship Id="rId2" Type="http://schemas.openxmlformats.org/officeDocument/2006/relationships/externalLinkPath" Target="file:///R:\lsb\DCN_B21\RETROP_RAMOS\2017\QERU2017.xlsx" TargetMode="External"/><Relationship Id="rId1" Type="http://schemas.openxmlformats.org/officeDocument/2006/relationships/externalLinkPath" Target="/lsb/DCN_B21/RETROP_RAMOS/2017/QERU2017.xlsx" TargetMode="External"/></Relationships>
</file>

<file path=xl/externalLinks/_rels/externalLink1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8/QERU2018.xlsx" TargetMode="External"/><Relationship Id="rId2" Type="http://schemas.openxmlformats.org/officeDocument/2006/relationships/externalLinkPath" Target="file:///R:\lsb\DCN_B21\RETROP_RAMOS\2018\QERU2018.xlsx" TargetMode="External"/><Relationship Id="rId1" Type="http://schemas.openxmlformats.org/officeDocument/2006/relationships/externalLinkPath" Target="/lsb/DCN_B21/RETROP_RAMOS/2018/QERU2018.xlsx" TargetMode="External"/></Relationships>
</file>

<file path=xl/externalLinks/_rels/externalLink1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9/QERU2019.xlsx" TargetMode="External"/><Relationship Id="rId2" Type="http://schemas.openxmlformats.org/officeDocument/2006/relationships/externalLinkPath" Target="file:///R:\lsb\DCN_B21\RETROP_RAMOS\2019\QERU2019.xlsx" TargetMode="External"/><Relationship Id="rId1" Type="http://schemas.openxmlformats.org/officeDocument/2006/relationships/externalLinkPath" Target="/lsb/DCN_B21/RETROP_RAMOS/2019/QERU2019.xlsx" TargetMode="External"/></Relationships>
</file>

<file path=xl/externalLinks/_rels/externalLink1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20/QERU2020.xlsx" TargetMode="External"/><Relationship Id="rId2" Type="http://schemas.openxmlformats.org/officeDocument/2006/relationships/externalLinkPath" Target="file:///R:\lsb\DCN_B21\RETROP_RAMOS\2020\QERU2020.xlsx" TargetMode="External"/><Relationship Id="rId1" Type="http://schemas.openxmlformats.org/officeDocument/2006/relationships/externalLinkPath" Target="/lsb/DCN_B21/RETROP_RAMOS/2020/QERU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CN_B21_2021/Ramos/QERU/QERU2021.xlsx" TargetMode="External"/><Relationship Id="rId2" Type="http://schemas.openxmlformats.org/officeDocument/2006/relationships/externalLinkPath" Target="file:///R:\lsb\DCN_B21_2021\Ramos\QERU\QERU2021.xlsx" TargetMode="External"/><Relationship Id="rId1" Type="http://schemas.openxmlformats.org/officeDocument/2006/relationships/externalLinkPath" Target="/lsb/DCN_B21_2021/Ramos/QERU/QERU2021.xlsx" TargetMode="External"/></Relationships>
</file>

<file path=xl/externalLinks/_rels/externalLink1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CN_B21_2021/Ramos/QERU/Analise/Consumo_por_objectivo_B21_2021.xlsx" TargetMode="External"/><Relationship Id="rId2" Type="http://schemas.openxmlformats.org/officeDocument/2006/relationships/externalLinkPath" Target="file:///R:\lsb\DCN_B21_2021\Ramos\QERU\Analise\Consumo_por_objectivo_B21_2021.xlsx" TargetMode="External"/><Relationship Id="rId1" Type="http://schemas.openxmlformats.org/officeDocument/2006/relationships/externalLinkPath" Target="/lsb/DCN_B21_2021/Ramos/QERU/Analise/Consumo_por_objectivo_B21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_Analise/COICOP_95_11.xlsx" TargetMode="External"/><Relationship Id="rId2" Type="http://schemas.openxmlformats.org/officeDocument/2006/relationships/externalLinkPath" Target="file:///R:\lsb\DCN_B21\RETROP_RAMOS\2_Analise\COICOP_95_11.xlsx" TargetMode="External"/><Relationship Id="rId1" Type="http://schemas.openxmlformats.org/officeDocument/2006/relationships/externalLinkPath" Target="/lsb/DCN_B21/RETROP_RAMOS/2_Analise/COICOP_95_11.xlsx" TargetMode="External"/></Relationships>
</file>

<file path=xl/externalLinks/_rels/externalLink2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CN_B21_2022/Ramos/QERU/Analise/Consumo_por_objectivo_B21_2022.xlsx" TargetMode="External"/><Relationship Id="rId2" Type="http://schemas.openxmlformats.org/officeDocument/2006/relationships/externalLinkPath" Target="file:///R:\lsb\DCN_B21_2022\Ramos\QERU\Analise\Consumo_por_objectivo_B21_2022.xlsx" TargetMode="External"/><Relationship Id="rId1" Type="http://schemas.openxmlformats.org/officeDocument/2006/relationships/externalLinkPath" Target="/lsb/DCN_B21_2022/Ramos/QERU/Analise/Consumo_por_objectivo_B21_2022.xlsx" TargetMode="External"/></Relationships>
</file>

<file path=xl/externalLinks/_rels/externalLink2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CN_B21_2022/Ramos/QERU/QERU2022.xlsx" TargetMode="External"/><Relationship Id="rId2" Type="http://schemas.openxmlformats.org/officeDocument/2006/relationships/externalLinkPath" Target="file:///R:\lsb\DCN_B21_2022\Ramos\QERU\QERU2022.xlsx" TargetMode="External"/><Relationship Id="rId1" Type="http://schemas.openxmlformats.org/officeDocument/2006/relationships/externalLinkPath" Target="/lsb/DCN_B21_2022/Ramos/QERU/QERU2022.xlsx" TargetMode="External"/></Relationships>
</file>

<file path=xl/externalLinks/_rels/externalLink2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CN_B21_2023/Ramos/QERU/QERU2023.xlsx" TargetMode="External"/><Relationship Id="rId2" Type="http://schemas.openxmlformats.org/officeDocument/2006/relationships/externalLinkPath" Target="file:///R:\lsb\DCN_B21_2023\Ramos\QERU\QERU2023.xlsx" TargetMode="External"/><Relationship Id="rId1" Type="http://schemas.openxmlformats.org/officeDocument/2006/relationships/externalLinkPath" Target="/lsb/DCN_B21_2023/Ramos/QERU/QERU2023.xlsx" TargetMode="External"/></Relationships>
</file>

<file path=xl/externalLinks/_rels/externalLink2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CN_B21_2023/Ramos/QERU/Analise/Consumo_por_objectivo_B21_2023.xlsx" TargetMode="External"/><Relationship Id="rId2" Type="http://schemas.openxmlformats.org/officeDocument/2006/relationships/externalLinkPath" Target="file:///R:\lsb\DCN_B21_2023\Ramos\QERU\Analise\Consumo_por_objectivo_B21_2023.xlsx" TargetMode="External"/><Relationship Id="rId1" Type="http://schemas.openxmlformats.org/officeDocument/2006/relationships/externalLinkPath" Target="/lsb/DCN_B21_2023/Ramos/QERU/Analise/Consumo_por_objectivo_B21_2023.xlsx" TargetMode="External"/></Relationships>
</file>

<file path=xl/externalLinks/_rels/externalLink2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EM_CNT/CNT4_25_Base2021/Consumo%20Privado_2025_4_85dias.xlsx" TargetMode="External"/><Relationship Id="rId2" Type="http://schemas.openxmlformats.org/officeDocument/2006/relationships/externalLinkPath" Target="file:///R:\lsb\DEM_CNT\CNT4_25_Base2021\Consumo%20Privado_2025_4_85dias.xlsx" TargetMode="External"/><Relationship Id="rId1" Type="http://schemas.openxmlformats.org/officeDocument/2006/relationships/externalLinkPath" Target="/lsb/DEM_CNT/CNT4_25_Base2021/Consumo%20Privado_2025_4_85dias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1995_2009/QRE_Retrop_00_06.xlsx" TargetMode="External"/><Relationship Id="rId2" Type="http://schemas.openxmlformats.org/officeDocument/2006/relationships/externalLinkPath" Target="file:///R:\lsb\DCN_B21\RETROP_RAMOS\1995_2009\QRE_Retrop_00_06.xlsx" TargetMode="External"/><Relationship Id="rId1" Type="http://schemas.openxmlformats.org/officeDocument/2006/relationships/externalLinkPath" Target="/lsb/DCN_B21/RETROP_RAMOS/1995_2009/QRE_Retrop_00_06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1995_2009/QRE_Retrop_06_10.xlsx" TargetMode="External"/><Relationship Id="rId2" Type="http://schemas.openxmlformats.org/officeDocument/2006/relationships/externalLinkPath" Target="file:///R:\lsb\DCN_B21\RETROP_RAMOS\1995_2009\QRE_Retrop_06_10.xlsx" TargetMode="External"/><Relationship Id="rId1" Type="http://schemas.openxmlformats.org/officeDocument/2006/relationships/externalLinkPath" Target="/lsb/DCN_B21/RETROP_RAMOS/1995_2009/QRE_Retrop_06_10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0_2011/QRE2010.xlsx" TargetMode="External"/><Relationship Id="rId2" Type="http://schemas.openxmlformats.org/officeDocument/2006/relationships/externalLinkPath" Target="file:///R:\lsb\DCN_B21\RETROP_RAMOS\2010_2011\QRE2010.xlsx" TargetMode="External"/><Relationship Id="rId1" Type="http://schemas.openxmlformats.org/officeDocument/2006/relationships/externalLinkPath" Target="/lsb/DCN_B21/RETROP_RAMOS/2010_2011/QRE2010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_Analise/Consumo_por_objectivo_2010_2016.xlsx" TargetMode="External"/><Relationship Id="rId2" Type="http://schemas.openxmlformats.org/officeDocument/2006/relationships/externalLinkPath" Target="file:///R:\lsb\DCN_B21\RETROP_RAMOS\2_Analise\Consumo_por_objectivo_2010_2016.xlsx" TargetMode="External"/><Relationship Id="rId1" Type="http://schemas.openxmlformats.org/officeDocument/2006/relationships/externalLinkPath" Target="/lsb/DCN_B21/RETROP_RAMOS/2_Analise/Consumo_por_objectivo_2010_2016.xlsx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0_2011/QRE2011.xlsx" TargetMode="External"/><Relationship Id="rId2" Type="http://schemas.openxmlformats.org/officeDocument/2006/relationships/externalLinkPath" Target="file:///R:\lsb\DCN_B21\RETROP_RAMOS\2010_2011\QRE2011.xlsx" TargetMode="External"/><Relationship Id="rId1" Type="http://schemas.openxmlformats.org/officeDocument/2006/relationships/externalLinkPath" Target="/lsb/DCN_B21/RETROP_RAMOS/2010_2011/QRE2011.xlsx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2/QRE2012.xlsx" TargetMode="External"/><Relationship Id="rId2" Type="http://schemas.openxmlformats.org/officeDocument/2006/relationships/externalLinkPath" Target="file:///R:\lsb\DCN_B21\RETROP_RAMOS\2012\QRE2012.xlsx" TargetMode="External"/><Relationship Id="rId1" Type="http://schemas.openxmlformats.org/officeDocument/2006/relationships/externalLinkPath" Target="/lsb/DCN_B21/RETROP_RAMOS/2012/QRE2012.xlsx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ETROP_RAMOS/2013/QRE2013.xlsx" TargetMode="External"/><Relationship Id="rId2" Type="http://schemas.openxmlformats.org/officeDocument/2006/relationships/externalLinkPath" Target="file:///R:\lsb\DCN_B21\RETROP_RAMOS\2013\QRE2013.xlsx" TargetMode="External"/><Relationship Id="rId1" Type="http://schemas.openxmlformats.org/officeDocument/2006/relationships/externalLinkPath" Target="/lsb/DCN_B21/RETROP_RAMOS/2013/QRE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QRE00"/>
      <sheetName val="00_preços"/>
      <sheetName val="QRE00_99"/>
      <sheetName val="00_vol"/>
      <sheetName val="QRE99"/>
      <sheetName val="99_preços"/>
      <sheetName val="QRE99_98"/>
      <sheetName val="99_vol"/>
      <sheetName val="QRE98"/>
      <sheetName val="98_preços"/>
      <sheetName val="QRE98_97"/>
      <sheetName val="98_vol"/>
      <sheetName val="QRE97"/>
      <sheetName val="97_preços"/>
      <sheetName val="QRE97_96"/>
      <sheetName val="97_vol"/>
      <sheetName val="QRE96"/>
      <sheetName val="96_preços"/>
      <sheetName val="QRE96_95"/>
      <sheetName val="96_vol"/>
      <sheetName val="QRE95"/>
      <sheetName val="QRE_Retrop_95_00"/>
      <sheetName val="QRE09_98"/>
      <sheetName val="QRE_99"/>
      <sheetName val="QRE98_99"/>
      <sheetName val="QRE95_96"/>
      <sheetName val="QRE01_00"/>
    </sheetNames>
    <sheetDataSet>
      <sheetData sheetId="0">
        <row r="43">
          <cell r="M43">
            <v>-5191196</v>
          </cell>
        </row>
        <row r="44">
          <cell r="M44">
            <v>1906174</v>
          </cell>
        </row>
      </sheetData>
      <sheetData sheetId="1"/>
      <sheetData sheetId="2"/>
      <sheetData sheetId="3"/>
      <sheetData sheetId="4">
        <row r="43">
          <cell r="M43">
            <v>-4499277</v>
          </cell>
        </row>
        <row r="44">
          <cell r="M44">
            <v>1691471</v>
          </cell>
        </row>
      </sheetData>
      <sheetData sheetId="5"/>
      <sheetData sheetId="6"/>
      <sheetData sheetId="7"/>
      <sheetData sheetId="8">
        <row r="43">
          <cell r="M43">
            <v>-4450006</v>
          </cell>
        </row>
        <row r="44">
          <cell r="M44">
            <v>1678699</v>
          </cell>
        </row>
      </sheetData>
      <sheetData sheetId="9"/>
      <sheetData sheetId="10"/>
      <sheetData sheetId="11"/>
      <sheetData sheetId="12">
        <row r="43">
          <cell r="M43">
            <v>-3686992</v>
          </cell>
        </row>
        <row r="44">
          <cell r="M44">
            <v>1479499</v>
          </cell>
        </row>
      </sheetData>
      <sheetData sheetId="13"/>
      <sheetData sheetId="14"/>
      <sheetData sheetId="15"/>
      <sheetData sheetId="16">
        <row r="43">
          <cell r="M43">
            <v>-3345805</v>
          </cell>
        </row>
        <row r="44">
          <cell r="M44">
            <v>1449692</v>
          </cell>
        </row>
      </sheetData>
      <sheetData sheetId="17"/>
      <sheetData sheetId="18"/>
      <sheetData sheetId="19"/>
      <sheetData sheetId="20">
        <row r="43">
          <cell r="M43">
            <v>-3292754</v>
          </cell>
        </row>
        <row r="44">
          <cell r="M44">
            <v>1311187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4"/>
      <sheetName val="QRE14_agreg"/>
      <sheetName val="QRE431X80_BP"/>
      <sheetName val="QRE80X80_BP"/>
      <sheetName val="QRE_P38"/>
      <sheetName val="QRE_P21"/>
      <sheetName val="Sheet1"/>
      <sheetName val="QRE2014"/>
      <sheetName val="QRE13"/>
    </sheetNames>
    <sheetDataSet>
      <sheetData sheetId="0"/>
      <sheetData sheetId="1">
        <row r="446">
          <cell r="ES446">
            <v>-9372987</v>
          </cell>
        </row>
        <row r="447">
          <cell r="ES447">
            <v>2294982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Compara_QRE15"/>
      <sheetName val="QRE15"/>
      <sheetName val="QRE15_agreg"/>
      <sheetName val="QRE431X80_BP"/>
      <sheetName val="QRE80X80_BP"/>
      <sheetName val="QRE_P38"/>
      <sheetName val="QRE_P21"/>
      <sheetName val="Sheet1"/>
      <sheetName val="QRE2015"/>
      <sheetName val="QRE15_14"/>
    </sheetNames>
    <sheetDataSet>
      <sheetData sheetId="0"/>
      <sheetData sheetId="1"/>
      <sheetData sheetId="2">
        <row r="446">
          <cell r="ES446">
            <v>-10602283</v>
          </cell>
        </row>
        <row r="447">
          <cell r="ES447">
            <v>2426529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Compara_QRE16"/>
      <sheetName val="QRE16"/>
      <sheetName val="QRE16_agreg"/>
      <sheetName val="QRE431X80_BP"/>
      <sheetName val="QRE80X80_BP"/>
      <sheetName val="QRE_P38"/>
      <sheetName val="QRE_P21"/>
      <sheetName val="Sheet1"/>
      <sheetName val="QRE16_15"/>
      <sheetName val="QRE15"/>
      <sheetName val="QRE15_agreg"/>
      <sheetName val="QERU2016"/>
    </sheetNames>
    <sheetDataSet>
      <sheetData sheetId="0"/>
      <sheetData sheetId="1"/>
      <sheetData sheetId="2">
        <row r="446">
          <cell r="ES446">
            <v>-11973642</v>
          </cell>
        </row>
        <row r="447">
          <cell r="ES447">
            <v>2762956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ICOP_2015"/>
      <sheetName val="Dados QREs"/>
      <sheetName val="Apuramentos_COICOP15"/>
      <sheetName val="P38"/>
      <sheetName val="COICOP_18"/>
      <sheetName val="COICOP_15_B21"/>
      <sheetName val="Apuramentos"/>
      <sheetName val="Apoio_PPC"/>
      <sheetName val="Valida"/>
      <sheetName val="COICOP_2"/>
      <sheetName val="COICOP18_2"/>
      <sheetName val="Apuramentos_COICOP18"/>
      <sheetName val="Apoio_PPC_Coicop18"/>
      <sheetName val="COICOP_2_COICOP2018"/>
      <sheetName val="Sheet1"/>
      <sheetName val="COICOP_2_old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F5">
            <v>5482873</v>
          </cell>
          <cell r="H5">
            <v>6078239</v>
          </cell>
          <cell r="J5">
            <v>6391110</v>
          </cell>
          <cell r="L5">
            <v>6384343</v>
          </cell>
          <cell r="N5">
            <v>4894840</v>
          </cell>
        </row>
        <row r="6">
          <cell r="F6">
            <v>5250196</v>
          </cell>
          <cell r="H6">
            <v>5631526</v>
          </cell>
          <cell r="J6">
            <v>5999901</v>
          </cell>
          <cell r="L6">
            <v>6339112</v>
          </cell>
          <cell r="N6">
            <v>6001006</v>
          </cell>
        </row>
        <row r="7">
          <cell r="F7">
            <v>23354214</v>
          </cell>
          <cell r="H7">
            <v>24208072</v>
          </cell>
          <cell r="J7">
            <v>24946805</v>
          </cell>
          <cell r="L7">
            <v>25684492</v>
          </cell>
          <cell r="N7">
            <v>26341479</v>
          </cell>
        </row>
        <row r="8">
          <cell r="F8">
            <v>93052072</v>
          </cell>
          <cell r="H8">
            <v>97728217</v>
          </cell>
          <cell r="J8">
            <v>102784069</v>
          </cell>
          <cell r="L8">
            <v>108282769</v>
          </cell>
          <cell r="N8">
            <v>92748912</v>
          </cell>
        </row>
      </sheetData>
      <sheetData sheetId="7"/>
      <sheetData sheetId="8"/>
      <sheetData sheetId="9"/>
      <sheetData sheetId="10">
        <row r="62">
          <cell r="C62" t="str">
            <v>011</v>
          </cell>
          <cell r="D62" t="str">
            <v>PRODUTOS ALIMENTARES</v>
          </cell>
          <cell r="E62" t="str">
            <v>011</v>
          </cell>
          <cell r="F62">
            <v>20125.186000000002</v>
          </cell>
          <cell r="G62">
            <v>20315.741000000002</v>
          </cell>
          <cell r="H62">
            <v>20900.347000000002</v>
          </cell>
          <cell r="I62">
            <v>21068.831999999999</v>
          </cell>
          <cell r="J62">
            <v>21456.493999999999</v>
          </cell>
          <cell r="K62">
            <v>21678.754000000001</v>
          </cell>
          <cell r="L62">
            <v>22221.609</v>
          </cell>
          <cell r="M62">
            <v>22316.280999999999</v>
          </cell>
          <cell r="N62">
            <v>22549.308000000001</v>
          </cell>
          <cell r="O62">
            <v>23012.938999999998</v>
          </cell>
          <cell r="P62">
            <v>23882.047999999999</v>
          </cell>
        </row>
        <row r="63">
          <cell r="C63" t="str">
            <v>012</v>
          </cell>
          <cell r="D63" t="str">
            <v>BEBIDAS NÃO ALCOÓLICAS</v>
          </cell>
          <cell r="E63" t="str">
            <v>012</v>
          </cell>
          <cell r="F63">
            <v>1253.453</v>
          </cell>
          <cell r="G63">
            <v>1255.9880000000001</v>
          </cell>
          <cell r="H63">
            <v>1244.9490000000001</v>
          </cell>
          <cell r="I63">
            <v>1356.3109999999999</v>
          </cell>
          <cell r="J63">
            <v>1399.066</v>
          </cell>
          <cell r="K63">
            <v>1398.568</v>
          </cell>
          <cell r="L63">
            <v>1428.184</v>
          </cell>
          <cell r="M63">
            <v>1450.579</v>
          </cell>
          <cell r="N63">
            <v>1407.7940000000001</v>
          </cell>
          <cell r="O63">
            <v>1412.06</v>
          </cell>
          <cell r="P63">
            <v>1421.88</v>
          </cell>
        </row>
        <row r="64">
          <cell r="C64" t="str">
            <v>013</v>
          </cell>
          <cell r="D64" t="str">
            <v>SERVIÇOS PARA TRANSFORMAÇÃO DE BENS PRIMÁRIOS PARA PRODUTOS ALIMENTARES e BEBIDAS NÃO ALCOÓLICAS</v>
          </cell>
          <cell r="E64">
            <v>0</v>
          </cell>
          <cell r="F64"/>
          <cell r="G64"/>
          <cell r="H64"/>
          <cell r="I64"/>
          <cell r="J64"/>
          <cell r="K64"/>
          <cell r="L64"/>
          <cell r="M64"/>
          <cell r="N64"/>
          <cell r="O64"/>
          <cell r="P64">
            <v>0</v>
          </cell>
        </row>
        <row r="65">
          <cell r="C65" t="str">
            <v>021</v>
          </cell>
          <cell r="D65" t="str">
            <v>BEBIDAS ALCOÓLICAS</v>
          </cell>
          <cell r="E65" t="str">
            <v>021</v>
          </cell>
          <cell r="F65">
            <v>1776.9580000000001</v>
          </cell>
          <cell r="G65">
            <v>1782.4849999999999</v>
          </cell>
          <cell r="H65">
            <v>1757.519</v>
          </cell>
          <cell r="I65">
            <v>1782.9290000000001</v>
          </cell>
          <cell r="J65">
            <v>1833.242</v>
          </cell>
          <cell r="K65">
            <v>1869.4829999999999</v>
          </cell>
          <cell r="L65">
            <v>1884.4939999999999</v>
          </cell>
          <cell r="M65">
            <v>1917.6320000000001</v>
          </cell>
          <cell r="N65">
            <v>1941.009</v>
          </cell>
          <cell r="O65">
            <v>1916.48</v>
          </cell>
          <cell r="P65">
            <v>1998.8230000000001</v>
          </cell>
        </row>
        <row r="66">
          <cell r="C66" t="str">
            <v>022</v>
          </cell>
          <cell r="D66" t="str">
            <v>SERVIÇOS DE PRODUÇÃO DE ÁLCOOL</v>
          </cell>
          <cell r="E66">
            <v>0</v>
          </cell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>
            <v>0</v>
          </cell>
        </row>
        <row r="67">
          <cell r="C67" t="str">
            <v>023</v>
          </cell>
          <cell r="D67" t="str">
            <v>TABACO</v>
          </cell>
          <cell r="E67" t="str">
            <v>022</v>
          </cell>
          <cell r="F67">
            <v>2089.1860000000001</v>
          </cell>
          <cell r="G67">
            <v>2161.1559999999999</v>
          </cell>
          <cell r="H67">
            <v>2272.4459999999999</v>
          </cell>
          <cell r="I67">
            <v>2338.8380000000002</v>
          </cell>
          <cell r="J67">
            <v>2493.54</v>
          </cell>
          <cell r="K67">
            <v>2494.7379999999998</v>
          </cell>
          <cell r="L67">
            <v>2401.384</v>
          </cell>
          <cell r="M67">
            <v>2455.6729999999998</v>
          </cell>
          <cell r="N67">
            <v>2427.0459999999998</v>
          </cell>
          <cell r="O67">
            <v>2464.9229999999998</v>
          </cell>
          <cell r="P67">
            <v>2449.5729999999999</v>
          </cell>
        </row>
        <row r="68">
          <cell r="C68" t="str">
            <v>024</v>
          </cell>
          <cell r="D68" t="str">
            <v>NARCÓTICOS</v>
          </cell>
          <cell r="E68" t="str">
            <v>023</v>
          </cell>
          <cell r="F68">
            <v>115.992</v>
          </cell>
          <cell r="G68">
            <v>104.982</v>
          </cell>
          <cell r="H68">
            <v>103.414</v>
          </cell>
          <cell r="I68">
            <v>105.63200000000001</v>
          </cell>
          <cell r="J68">
            <v>104.249</v>
          </cell>
          <cell r="K68">
            <v>125.938</v>
          </cell>
          <cell r="L68">
            <v>124.589</v>
          </cell>
          <cell r="M68">
            <v>106.545</v>
          </cell>
          <cell r="N68">
            <v>105.627</v>
          </cell>
          <cell r="O68">
            <v>181.911</v>
          </cell>
          <cell r="P68">
            <v>178.928</v>
          </cell>
        </row>
        <row r="69">
          <cell r="C69" t="str">
            <v>031</v>
          </cell>
          <cell r="D69" t="str">
            <v>VESTUÁRIO</v>
          </cell>
          <cell r="E69" t="str">
            <v>031</v>
          </cell>
          <cell r="F69">
            <v>6173.1869999999999</v>
          </cell>
          <cell r="G69">
            <v>6134.4170000000004</v>
          </cell>
          <cell r="H69">
            <v>6414.4089999999997</v>
          </cell>
          <cell r="I69">
            <v>6294.2820000000002</v>
          </cell>
          <cell r="J69">
            <v>6386.2049999999999</v>
          </cell>
          <cell r="K69">
            <v>6394.1480000000001</v>
          </cell>
          <cell r="L69">
            <v>6665.8909999999996</v>
          </cell>
          <cell r="M69">
            <v>6564.2439999999997</v>
          </cell>
          <cell r="N69">
            <v>5776.1440000000002</v>
          </cell>
          <cell r="O69">
            <v>5687.55</v>
          </cell>
          <cell r="P69">
            <v>5949.223</v>
          </cell>
        </row>
        <row r="70">
          <cell r="C70" t="str">
            <v>032</v>
          </cell>
          <cell r="D70" t="str">
            <v>CALÇADO</v>
          </cell>
          <cell r="E70" t="str">
            <v>032</v>
          </cell>
          <cell r="F70">
            <v>1965.17</v>
          </cell>
          <cell r="G70">
            <v>1961.2439999999999</v>
          </cell>
          <cell r="H70">
            <v>2080.6469999999999</v>
          </cell>
          <cell r="I70">
            <v>2025.0360000000001</v>
          </cell>
          <cell r="J70">
            <v>2138.3710000000001</v>
          </cell>
          <cell r="K70">
            <v>2080.3739999999998</v>
          </cell>
          <cell r="L70">
            <v>2160.1419999999998</v>
          </cell>
          <cell r="M70">
            <v>2051.3560000000002</v>
          </cell>
          <cell r="N70">
            <v>1851.579</v>
          </cell>
          <cell r="O70">
            <v>1730.7</v>
          </cell>
          <cell r="P70">
            <v>1758.0260000000001</v>
          </cell>
        </row>
        <row r="71">
          <cell r="C71" t="str">
            <v>041</v>
          </cell>
          <cell r="D71" t="str">
            <v>RENDAS EFETIVAS PELA HABITAÇÃO</v>
          </cell>
          <cell r="E71" t="str">
            <v>041</v>
          </cell>
          <cell r="F71">
            <v>4330.9459999999999</v>
          </cell>
          <cell r="G71">
            <v>4429.2439999999997</v>
          </cell>
          <cell r="H71">
            <v>4506.1499999999996</v>
          </cell>
          <cell r="I71">
            <v>4596.8010000000004</v>
          </cell>
          <cell r="J71">
            <v>4713.3980000000001</v>
          </cell>
          <cell r="K71">
            <v>4850.357</v>
          </cell>
          <cell r="L71">
            <v>4959.6049999999996</v>
          </cell>
          <cell r="M71">
            <v>5152.1580000000004</v>
          </cell>
          <cell r="N71">
            <v>5268.5839999999998</v>
          </cell>
          <cell r="O71">
            <v>5431.7049999999999</v>
          </cell>
          <cell r="P71">
            <v>5523.8530000000001</v>
          </cell>
        </row>
        <row r="72">
          <cell r="C72" t="str">
            <v>042</v>
          </cell>
          <cell r="D72" t="str">
            <v>RENDAS IMPUTADAS PELA HABITAÇÃO</v>
          </cell>
          <cell r="E72" t="str">
            <v>042</v>
          </cell>
          <cell r="F72">
            <v>13001.043</v>
          </cell>
          <cell r="G72">
            <v>13352.721</v>
          </cell>
          <cell r="H72">
            <v>13322.64</v>
          </cell>
          <cell r="I72">
            <v>13588.388000000001</v>
          </cell>
          <cell r="J72">
            <v>13563.647999999999</v>
          </cell>
          <cell r="K72">
            <v>13955.637000000001</v>
          </cell>
          <cell r="L72">
            <v>13927.602000000001</v>
          </cell>
          <cell r="M72">
            <v>14466.013999999999</v>
          </cell>
          <cell r="N72">
            <v>14434.731</v>
          </cell>
          <cell r="O72">
            <v>14880.079</v>
          </cell>
          <cell r="P72">
            <v>14858.911</v>
          </cell>
        </row>
        <row r="73">
          <cell r="C73" t="str">
            <v>043</v>
          </cell>
          <cell r="D73" t="str">
            <v>MANUTENÇÃO, REPARAÇÃO e SEGURANÇA DAS HABITAÇÕES</v>
          </cell>
          <cell r="E73" t="str">
            <v>043</v>
          </cell>
          <cell r="F73">
            <v>365.22</v>
          </cell>
          <cell r="G73">
            <v>362.62700000000001</v>
          </cell>
          <cell r="H73">
            <v>389.94600000000003</v>
          </cell>
          <cell r="I73">
            <v>394.39</v>
          </cell>
          <cell r="J73">
            <v>367.66199999999998</v>
          </cell>
          <cell r="K73">
            <v>366.80599999999998</v>
          </cell>
          <cell r="L73">
            <v>332.55399999999997</v>
          </cell>
          <cell r="M73">
            <v>332.14400000000001</v>
          </cell>
          <cell r="N73">
            <v>277.84800000000001</v>
          </cell>
          <cell r="O73">
            <v>278.00099999999998</v>
          </cell>
          <cell r="P73">
            <v>230.524</v>
          </cell>
        </row>
        <row r="74">
          <cell r="C74" t="str">
            <v>044</v>
          </cell>
          <cell r="D74" t="str">
            <v xml:space="preserve">ABASTECIMENTO DE ÁGUA e SERVIÇOS DIVERSOS RELACIONADOS COM A HABITAÇÃO </v>
          </cell>
          <cell r="E74" t="str">
            <v>044</v>
          </cell>
          <cell r="F74">
            <v>1188.491</v>
          </cell>
          <cell r="G74">
            <v>1202.9469999999999</v>
          </cell>
          <cell r="H74">
            <v>1228.7270000000001</v>
          </cell>
          <cell r="I74">
            <v>1248.3530000000001</v>
          </cell>
          <cell r="J74">
            <v>1239.5239999999999</v>
          </cell>
          <cell r="K74">
            <v>1264.704</v>
          </cell>
          <cell r="L74">
            <v>1337.77</v>
          </cell>
          <cell r="M74">
            <v>1364.0319999999999</v>
          </cell>
          <cell r="N74">
            <v>1452.576</v>
          </cell>
          <cell r="O74">
            <v>1445.3130000000001</v>
          </cell>
          <cell r="P74">
            <v>1384.2149999999999</v>
          </cell>
        </row>
        <row r="75">
          <cell r="C75" t="str">
            <v>045</v>
          </cell>
          <cell r="D75" t="str">
            <v>ELECTRICIDADE, GÁS e OUTROS COMBUSTÍVEIS</v>
          </cell>
          <cell r="E75" t="str">
            <v>045</v>
          </cell>
          <cell r="F75">
            <v>4369.6049999999996</v>
          </cell>
          <cell r="G75">
            <v>4338.3090000000002</v>
          </cell>
          <cell r="H75">
            <v>4125.3320000000003</v>
          </cell>
          <cell r="I75">
            <v>4129.5150000000003</v>
          </cell>
          <cell r="J75">
            <v>4108.5379999999996</v>
          </cell>
          <cell r="K75">
            <v>4226.5860000000002</v>
          </cell>
          <cell r="L75">
            <v>4314.0079999999998</v>
          </cell>
          <cell r="M75">
            <v>4184.1980000000003</v>
          </cell>
          <cell r="N75">
            <v>4272.4859999999999</v>
          </cell>
          <cell r="O75">
            <v>4235.6760000000004</v>
          </cell>
          <cell r="P75">
            <v>4085.4929999999999</v>
          </cell>
        </row>
        <row r="76">
          <cell r="C76" t="str">
            <v>051</v>
          </cell>
          <cell r="D76" t="str">
            <v>MOBILIÁRIO, ACESSÓRIOS e CARPETES</v>
          </cell>
          <cell r="E76" t="str">
            <v>051</v>
          </cell>
          <cell r="F76">
            <v>1410.221</v>
          </cell>
          <cell r="G76">
            <v>1416.12</v>
          </cell>
          <cell r="H76">
            <v>1444.972</v>
          </cell>
          <cell r="I76">
            <v>1446.9780000000001</v>
          </cell>
          <cell r="J76">
            <v>1604.175</v>
          </cell>
          <cell r="K76">
            <v>1606.327</v>
          </cell>
          <cell r="L76">
            <v>1703.9449999999999</v>
          </cell>
          <cell r="M76">
            <v>1699.5550000000001</v>
          </cell>
          <cell r="N76">
            <v>1758.336</v>
          </cell>
          <cell r="O76">
            <v>1737.5419999999999</v>
          </cell>
          <cell r="P76">
            <v>2062.1990000000001</v>
          </cell>
        </row>
        <row r="77">
          <cell r="C77" t="str">
            <v>052</v>
          </cell>
          <cell r="D77" t="str">
            <v>TÊXTEIS DE USO DOMÉSTICO</v>
          </cell>
          <cell r="E77" t="str">
            <v>052</v>
          </cell>
          <cell r="F77">
            <v>437.18599999999998</v>
          </cell>
          <cell r="G77">
            <v>439.274</v>
          </cell>
          <cell r="H77">
            <v>510.53100000000001</v>
          </cell>
          <cell r="I77">
            <v>500.495</v>
          </cell>
          <cell r="J77">
            <v>563.06799999999998</v>
          </cell>
          <cell r="K77">
            <v>567.52499999999998</v>
          </cell>
          <cell r="L77">
            <v>559.51499999999999</v>
          </cell>
          <cell r="M77">
            <v>547.10400000000004</v>
          </cell>
          <cell r="N77">
            <v>891.04499999999996</v>
          </cell>
          <cell r="O77">
            <v>878.27700000000004</v>
          </cell>
          <cell r="P77">
            <v>667.19799999999998</v>
          </cell>
        </row>
        <row r="78">
          <cell r="C78" t="str">
            <v>053</v>
          </cell>
          <cell r="D78" t="str">
            <v>ELETRODOMÉSTICOS</v>
          </cell>
          <cell r="E78" t="str">
            <v>053</v>
          </cell>
          <cell r="F78">
            <v>1227.8979999999999</v>
          </cell>
          <cell r="G78">
            <v>1214.355</v>
          </cell>
          <cell r="H78">
            <v>1306.037</v>
          </cell>
          <cell r="I78">
            <v>1291.3720000000001</v>
          </cell>
          <cell r="J78">
            <v>1384.548</v>
          </cell>
          <cell r="K78">
            <v>1371.7070000000001</v>
          </cell>
          <cell r="L78">
            <v>1440.989</v>
          </cell>
          <cell r="M78">
            <v>1428.5219999999999</v>
          </cell>
          <cell r="N78">
            <v>1400.5550000000001</v>
          </cell>
          <cell r="O78">
            <v>1370.3810000000001</v>
          </cell>
          <cell r="P78">
            <v>1493.9649999999999</v>
          </cell>
        </row>
        <row r="79">
          <cell r="C79" t="str">
            <v>054</v>
          </cell>
          <cell r="D79" t="str">
            <v>VIDROS, LOIÇAS e OUTROS UTENSÍLIOS DE USO DOMÉSTICO</v>
          </cell>
          <cell r="E79" t="str">
            <v>054</v>
          </cell>
          <cell r="F79">
            <v>255.84100000000001</v>
          </cell>
          <cell r="G79">
            <v>252.00399999999999</v>
          </cell>
          <cell r="H79">
            <v>311.43299999999999</v>
          </cell>
          <cell r="I79">
            <v>303.45699999999999</v>
          </cell>
          <cell r="J79">
            <v>308.90499999999997</v>
          </cell>
          <cell r="K79">
            <v>305.03200000000004</v>
          </cell>
          <cell r="L79">
            <v>359.096</v>
          </cell>
          <cell r="M79">
            <v>357.90699999999998</v>
          </cell>
          <cell r="N79">
            <v>369.07100000000003</v>
          </cell>
          <cell r="O79">
            <v>369.06600000000003</v>
          </cell>
          <cell r="P79">
            <v>426.74299999999999</v>
          </cell>
        </row>
        <row r="80">
          <cell r="C80" t="str">
            <v>055</v>
          </cell>
          <cell r="D80" t="str">
            <v>FERRAMENTAS e EQUIPAMENTO PARA CASA e JARDIM</v>
          </cell>
          <cell r="E80" t="str">
            <v>055</v>
          </cell>
          <cell r="F80">
            <v>176.58699999999999</v>
          </cell>
          <cell r="G80">
            <v>172.40799999999999</v>
          </cell>
          <cell r="H80">
            <v>189.11</v>
          </cell>
          <cell r="I80">
            <v>191.887</v>
          </cell>
          <cell r="J80">
            <v>210.09299999999999</v>
          </cell>
          <cell r="K80">
            <v>205.06399999999999</v>
          </cell>
          <cell r="L80">
            <v>214.29</v>
          </cell>
          <cell r="M80">
            <v>209.81200000000001</v>
          </cell>
          <cell r="N80">
            <v>196.60400000000001</v>
          </cell>
          <cell r="O80">
            <v>192.738</v>
          </cell>
          <cell r="P80">
            <v>173.38399999999999</v>
          </cell>
        </row>
        <row r="81">
          <cell r="C81" t="str">
            <v>056</v>
          </cell>
          <cell r="D81" t="str">
            <v>BENS e SERVIÇOS PARA A MANUTENÇÃO CORRENTE DA HABITAÇÃO</v>
          </cell>
          <cell r="E81" t="str">
            <v>056</v>
          </cell>
          <cell r="F81">
            <v>2378.346</v>
          </cell>
          <cell r="G81">
            <v>2401.3440000000001</v>
          </cell>
          <cell r="H81">
            <v>2371.8159999999998</v>
          </cell>
          <cell r="I81">
            <v>2383.3560000000002</v>
          </cell>
          <cell r="J81">
            <v>2362.1280000000002</v>
          </cell>
          <cell r="K81">
            <v>2413.4140000000002</v>
          </cell>
          <cell r="L81">
            <v>2444.4259999999999</v>
          </cell>
          <cell r="M81">
            <v>2469.674</v>
          </cell>
          <cell r="N81">
            <v>2358.9989999999998</v>
          </cell>
          <cell r="O81">
            <v>2363.4090000000001</v>
          </cell>
          <cell r="P81">
            <v>2251.4960000000001</v>
          </cell>
        </row>
        <row r="82">
          <cell r="C82" t="str">
            <v>061</v>
          </cell>
          <cell r="D82" t="str">
            <v>MEDICAMENTOS e PRODUTOS DE SAÚDE</v>
          </cell>
          <cell r="E82" t="str">
            <v>061</v>
          </cell>
          <cell r="F82">
            <v>2156.7060000000001</v>
          </cell>
          <cell r="G82">
            <v>2202.6880000000001</v>
          </cell>
          <cell r="H82">
            <v>2223.6669999999999</v>
          </cell>
          <cell r="I82">
            <v>2261.6909999999998</v>
          </cell>
          <cell r="J82">
            <v>2281.7779999999998</v>
          </cell>
          <cell r="K82">
            <v>2309.5419999999999</v>
          </cell>
          <cell r="L82">
            <v>2422.9650000000001</v>
          </cell>
          <cell r="M82">
            <v>2451.0320000000002</v>
          </cell>
          <cell r="N82">
            <v>2236.0279999999998</v>
          </cell>
          <cell r="O82">
            <v>2264.44</v>
          </cell>
          <cell r="P82">
            <v>2465.8969999999999</v>
          </cell>
        </row>
        <row r="83">
          <cell r="C83" t="str">
            <v>062</v>
          </cell>
          <cell r="D83" t="str">
            <v>SERVIÇOS DE SAÚDE EM AMBULATÓRIO</v>
          </cell>
          <cell r="E83" t="str">
            <v>062</v>
          </cell>
          <cell r="F83">
            <v>3990.97</v>
          </cell>
          <cell r="G83">
            <v>3999.931</v>
          </cell>
          <cell r="H83">
            <v>4211.5860000000002</v>
          </cell>
          <cell r="I83">
            <v>4210.7179999999998</v>
          </cell>
          <cell r="J83">
            <v>4437.6270000000004</v>
          </cell>
          <cell r="K83">
            <v>4462.5240000000003</v>
          </cell>
          <cell r="L83">
            <v>4866.08</v>
          </cell>
          <cell r="M83">
            <v>4895.6509999999998</v>
          </cell>
          <cell r="N83">
            <v>4250.45</v>
          </cell>
          <cell r="O83">
            <v>4289.0870000000004</v>
          </cell>
          <cell r="P83">
            <v>5302.3720000000003</v>
          </cell>
        </row>
        <row r="84">
          <cell r="C84" t="str">
            <v>063</v>
          </cell>
          <cell r="D84" t="str">
            <v>SERVIÇOS DE SAÚDE EM ESTABELECIMENTOS HOSPITALARES COM INTERNAMENTO</v>
          </cell>
          <cell r="E84" t="str">
            <v>063</v>
          </cell>
          <cell r="F84">
            <v>329.96600000000001</v>
          </cell>
          <cell r="G84">
            <v>330.55399999999997</v>
          </cell>
          <cell r="H84">
            <v>348.31099999999998</v>
          </cell>
          <cell r="I84">
            <v>348.12799999999999</v>
          </cell>
          <cell r="J84">
            <v>367.16699999999997</v>
          </cell>
          <cell r="K84">
            <v>369.185</v>
          </cell>
          <cell r="L84">
            <v>402.84300000000002</v>
          </cell>
          <cell r="M84">
            <v>405.24099999999999</v>
          </cell>
          <cell r="N84">
            <v>351.68700000000001</v>
          </cell>
          <cell r="O84">
            <v>354.86700000000002</v>
          </cell>
          <cell r="P84">
            <v>558.904</v>
          </cell>
        </row>
        <row r="85">
          <cell r="C85" t="str">
            <v>064</v>
          </cell>
          <cell r="D85" t="str">
            <v>OUTROS SERVIÇOS DE SAÚDE</v>
          </cell>
          <cell r="E85" t="str">
            <v>062</v>
          </cell>
          <cell r="F85">
            <v>206.40700000000001</v>
          </cell>
          <cell r="G85">
            <v>206.80099999999999</v>
          </cell>
          <cell r="H85">
            <v>217.905</v>
          </cell>
          <cell r="I85">
            <v>217.79499999999999</v>
          </cell>
          <cell r="J85">
            <v>229.70400000000001</v>
          </cell>
          <cell r="K85">
            <v>230.96700000000001</v>
          </cell>
          <cell r="L85">
            <v>252.01499999999999</v>
          </cell>
          <cell r="M85">
            <v>253.524</v>
          </cell>
          <cell r="N85">
            <v>219.929</v>
          </cell>
          <cell r="O85">
            <v>221.91499999999999</v>
          </cell>
          <cell r="P85">
            <v>284.44299999999998</v>
          </cell>
        </row>
        <row r="86">
          <cell r="C86" t="str">
            <v>071</v>
          </cell>
          <cell r="D86" t="str">
            <v>AQUISIÇÃO DE VEÍCULOS</v>
          </cell>
          <cell r="E86" t="str">
            <v>071</v>
          </cell>
          <cell r="F86">
            <v>5675.3770000000004</v>
          </cell>
          <cell r="G86">
            <v>5784.7330000000002</v>
          </cell>
          <cell r="H86">
            <v>6376.3109999999997</v>
          </cell>
          <cell r="I86">
            <v>6430.0510000000004</v>
          </cell>
          <cell r="J86">
            <v>6755.1710000000003</v>
          </cell>
          <cell r="K86">
            <v>6821.192</v>
          </cell>
          <cell r="L86">
            <v>6605.8860000000004</v>
          </cell>
          <cell r="M86">
            <v>6861.5789999999997</v>
          </cell>
          <cell r="N86">
            <v>5333.29</v>
          </cell>
          <cell r="O86">
            <v>5397.4620000000004</v>
          </cell>
          <cell r="P86">
            <v>5456.482</v>
          </cell>
        </row>
        <row r="87">
          <cell r="C87" t="str">
            <v>072</v>
          </cell>
          <cell r="D87" t="str">
            <v>UTILIZAÇÃO DE EQUIPAMENTO PARA TRANSPORTE PESSOAL</v>
          </cell>
          <cell r="E87" t="str">
            <v>072</v>
          </cell>
          <cell r="F87">
            <v>8424.8970000000008</v>
          </cell>
          <cell r="G87">
            <v>8338.875</v>
          </cell>
          <cell r="H87">
            <v>8653.6149999999998</v>
          </cell>
          <cell r="I87">
            <v>9069.7270000000008</v>
          </cell>
          <cell r="J87">
            <v>9281.7829999999994</v>
          </cell>
          <cell r="K87">
            <v>9657.3909999999996</v>
          </cell>
          <cell r="L87">
            <v>10285.038</v>
          </cell>
          <cell r="M87">
            <v>10386.35</v>
          </cell>
          <cell r="N87">
            <v>8492.9359999999997</v>
          </cell>
          <cell r="O87">
            <v>8274.1270000000004</v>
          </cell>
          <cell r="P87">
            <v>8927.7939999999999</v>
          </cell>
        </row>
        <row r="88">
          <cell r="C88" t="str">
            <v>073</v>
          </cell>
          <cell r="D88" t="str">
            <v>SERVIÇOS DE TRANSPORTE DE PASSAGEIROS</v>
          </cell>
          <cell r="E88" t="str">
            <v>073</v>
          </cell>
          <cell r="F88">
            <v>2127.0129999999999</v>
          </cell>
          <cell r="G88">
            <v>2111.6410000000001</v>
          </cell>
          <cell r="H88">
            <v>2247.37</v>
          </cell>
          <cell r="I88">
            <v>2265.6190000000001</v>
          </cell>
          <cell r="J88">
            <v>2386.3510000000001</v>
          </cell>
          <cell r="K88">
            <v>2417.0140000000001</v>
          </cell>
          <cell r="L88">
            <v>2777.7550000000001</v>
          </cell>
          <cell r="M88">
            <v>2726.4839999999999</v>
          </cell>
          <cell r="N88">
            <v>1184.605</v>
          </cell>
          <cell r="O88">
            <v>1150.453</v>
          </cell>
          <cell r="P88">
            <v>1697.624</v>
          </cell>
        </row>
        <row r="89">
          <cell r="C89" t="str">
            <v>074</v>
          </cell>
          <cell r="D89" t="str">
            <v>SERVIÇOS DE TRANSPORTE DE BENS</v>
          </cell>
          <cell r="E89" t="str">
            <v>081</v>
          </cell>
          <cell r="F89">
            <v>125.997</v>
          </cell>
          <cell r="G89">
            <v>130.66900000000001</v>
          </cell>
          <cell r="H89">
            <v>121.605</v>
          </cell>
          <cell r="I89">
            <v>130.00200000000001</v>
          </cell>
          <cell r="J89">
            <v>126.928</v>
          </cell>
          <cell r="K89">
            <v>134.32400000000001</v>
          </cell>
          <cell r="L89">
            <v>120.657</v>
          </cell>
          <cell r="M89">
            <v>120.789</v>
          </cell>
          <cell r="N89">
            <v>97.998999999999995</v>
          </cell>
          <cell r="O89">
            <v>99.105999999999995</v>
          </cell>
          <cell r="P89">
            <v>168.084</v>
          </cell>
        </row>
        <row r="90">
          <cell r="C90" t="str">
            <v>081</v>
          </cell>
          <cell r="D90" t="str">
            <v>EQUIPAMENTO DE INFORMAÇÃO e COMUNICAÇÃO</v>
          </cell>
          <cell r="E90" t="str">
            <v>082</v>
          </cell>
          <cell r="F90">
            <v>635.55200000000002</v>
          </cell>
          <cell r="G90">
            <v>645.17999999999995</v>
          </cell>
          <cell r="H90">
            <v>732.03399999999999</v>
          </cell>
          <cell r="I90">
            <v>724.81899999999996</v>
          </cell>
          <cell r="J90">
            <v>797.46500000000003</v>
          </cell>
          <cell r="K90">
            <v>760.80899999999997</v>
          </cell>
          <cell r="L90">
            <v>847.43299999999999</v>
          </cell>
          <cell r="M90">
            <v>808.07399999999996</v>
          </cell>
          <cell r="N90">
            <v>892.65300000000002</v>
          </cell>
          <cell r="O90">
            <v>832.99199999999996</v>
          </cell>
          <cell r="P90">
            <v>986.72400000000005</v>
          </cell>
        </row>
        <row r="91">
          <cell r="C91" t="str">
            <v>082</v>
          </cell>
          <cell r="D91" t="str">
            <v>PROGRAMAS INFORMÁTICOS (SOFTWARE) EXCLUINDO JOGOS</v>
          </cell>
          <cell r="E91" t="str">
            <v>091</v>
          </cell>
          <cell r="F91">
            <v>3.15</v>
          </cell>
          <cell r="G91">
            <v>3.0950000000000002</v>
          </cell>
          <cell r="H91">
            <v>3.4340000000000002</v>
          </cell>
          <cell r="I91">
            <v>3.3239999999999998</v>
          </cell>
          <cell r="J91">
            <v>5.6360000000000001</v>
          </cell>
          <cell r="K91">
            <v>5.407</v>
          </cell>
          <cell r="L91">
            <v>6.7089999999999996</v>
          </cell>
          <cell r="M91">
            <v>6.5220000000000002</v>
          </cell>
          <cell r="N91">
            <v>7.6619999999999999</v>
          </cell>
          <cell r="O91">
            <v>8.3569999999999993</v>
          </cell>
          <cell r="P91">
            <v>11.628</v>
          </cell>
        </row>
        <row r="92">
          <cell r="C92" t="str">
            <v>083</v>
          </cell>
          <cell r="D92" t="str">
            <v>SERVIÇOS DE INFORMAÇÃO e COMUNICAÇÃO</v>
          </cell>
          <cell r="E92" t="str">
            <v>083</v>
          </cell>
          <cell r="F92">
            <v>3023.7270000000108</v>
          </cell>
          <cell r="G92">
            <v>3096.12</v>
          </cell>
          <cell r="H92">
            <v>3051.7659999999892</v>
          </cell>
          <cell r="I92">
            <v>3127.2089999999603</v>
          </cell>
          <cell r="J92">
            <v>3015.1039999999925</v>
          </cell>
          <cell r="K92">
            <v>3023.2040000000106</v>
          </cell>
          <cell r="L92">
            <v>3489.7219999999784</v>
          </cell>
          <cell r="M92">
            <v>3411.1479999999924</v>
          </cell>
          <cell r="N92">
            <v>3384.95</v>
          </cell>
          <cell r="O92">
            <v>3326.3120000000254</v>
          </cell>
          <cell r="P92">
            <v>3325.9490000000001</v>
          </cell>
        </row>
        <row r="93">
          <cell r="C93" t="str">
            <v>091</v>
          </cell>
          <cell r="D93" t="str">
            <v>BENS RECREATIVOS DURADOUROS</v>
          </cell>
          <cell r="E93" t="str">
            <v>091</v>
          </cell>
          <cell r="F93">
            <v>345.29899999999998</v>
          </cell>
          <cell r="G93">
            <v>340.25099999999998</v>
          </cell>
          <cell r="H93">
            <v>348.88799999999998</v>
          </cell>
          <cell r="I93">
            <v>339.69499999999999</v>
          </cell>
          <cell r="J93">
            <v>305.99299999999999</v>
          </cell>
          <cell r="K93">
            <v>285.93200000000002</v>
          </cell>
          <cell r="L93">
            <v>283.78899999999999</v>
          </cell>
          <cell r="M93">
            <v>267.65899999999999</v>
          </cell>
          <cell r="N93">
            <v>231.57799999999997</v>
          </cell>
          <cell r="O93">
            <v>205.77199999999999</v>
          </cell>
          <cell r="P93">
            <v>230.99299999999999</v>
          </cell>
        </row>
        <row r="94">
          <cell r="C94" t="str">
            <v>092</v>
          </cell>
          <cell r="D94" t="str">
            <v>OUTROS BENS RECREATIVOS</v>
          </cell>
          <cell r="E94" t="str">
            <v>093</v>
          </cell>
          <cell r="F94">
            <v>742.92</v>
          </cell>
          <cell r="G94">
            <v>729.93700000000001</v>
          </cell>
          <cell r="H94">
            <v>784.08100000000002</v>
          </cell>
          <cell r="I94">
            <v>770.68600000000004</v>
          </cell>
          <cell r="J94">
            <v>875.72</v>
          </cell>
          <cell r="K94">
            <v>848.08</v>
          </cell>
          <cell r="L94">
            <v>882.41499999999996</v>
          </cell>
          <cell r="M94">
            <v>857.97</v>
          </cell>
          <cell r="N94">
            <v>832.41499999999996</v>
          </cell>
          <cell r="O94">
            <v>801.11800000000005</v>
          </cell>
          <cell r="P94">
            <v>736.03599999999994</v>
          </cell>
        </row>
        <row r="95">
          <cell r="C95" t="str">
            <v>093</v>
          </cell>
          <cell r="D95" t="str">
            <v>PRODUTOS DE JARDINAGEM e ANIMAIS DE ESTIMAÇÃO</v>
          </cell>
          <cell r="E95" t="str">
            <v>093</v>
          </cell>
          <cell r="F95">
            <v>909.221</v>
          </cell>
          <cell r="G95">
            <v>894.83799999999997</v>
          </cell>
          <cell r="H95">
            <v>939.32</v>
          </cell>
          <cell r="I95">
            <v>931.98199999999997</v>
          </cell>
          <cell r="J95">
            <v>981.82500000000005</v>
          </cell>
          <cell r="K95">
            <v>967.18899999999996</v>
          </cell>
          <cell r="L95">
            <v>982.79600000000005</v>
          </cell>
          <cell r="M95">
            <v>967.726</v>
          </cell>
          <cell r="N95">
            <v>903.83699999999999</v>
          </cell>
          <cell r="O95">
            <v>893.76099999999997</v>
          </cell>
          <cell r="P95">
            <v>861.11900000000003</v>
          </cell>
        </row>
        <row r="96">
          <cell r="C96" t="str">
            <v>094</v>
          </cell>
          <cell r="D96" t="str">
            <v>SERVIÇOS RECREATIVOS</v>
          </cell>
          <cell r="E96" t="str">
            <v>094</v>
          </cell>
          <cell r="F96">
            <v>1929.91</v>
          </cell>
          <cell r="G96">
            <v>2034.4259999999999</v>
          </cell>
          <cell r="H96">
            <v>2164.4270000000001</v>
          </cell>
          <cell r="I96">
            <v>2269.9969999999998</v>
          </cell>
          <cell r="J96">
            <v>2351.2199999999998</v>
          </cell>
          <cell r="K96">
            <v>2425.808</v>
          </cell>
          <cell r="L96">
            <v>2614.1579999999999</v>
          </cell>
          <cell r="M96">
            <v>2668.1779999999999</v>
          </cell>
          <cell r="N96">
            <v>1931.7639999999999</v>
          </cell>
          <cell r="O96">
            <v>1967.7260000000001</v>
          </cell>
          <cell r="P96">
            <v>2808.4479999999999</v>
          </cell>
        </row>
        <row r="97">
          <cell r="C97" t="str">
            <v>095</v>
          </cell>
          <cell r="D97" t="str">
            <v>BENS CULTURAIS</v>
          </cell>
          <cell r="E97" t="str">
            <v>092</v>
          </cell>
          <cell r="F97">
            <v>103.63200000000001</v>
          </cell>
          <cell r="G97">
            <v>101.592</v>
          </cell>
          <cell r="H97">
            <v>104.71</v>
          </cell>
          <cell r="I97">
            <v>103.958</v>
          </cell>
          <cell r="J97">
            <v>106.56</v>
          </cell>
          <cell r="K97">
            <v>101.809</v>
          </cell>
          <cell r="L97">
            <v>113.524</v>
          </cell>
          <cell r="M97">
            <v>110.871</v>
          </cell>
          <cell r="N97">
            <v>120.253</v>
          </cell>
          <cell r="O97">
            <v>117.49</v>
          </cell>
          <cell r="P97">
            <v>75.034000000000006</v>
          </cell>
        </row>
        <row r="98">
          <cell r="C98" t="str">
            <v>096</v>
          </cell>
          <cell r="D98" t="str">
            <v>SERVIÇOS CULTURAIS</v>
          </cell>
          <cell r="E98" t="str">
            <v>094</v>
          </cell>
          <cell r="F98">
            <v>663.94200000000001</v>
          </cell>
          <cell r="G98">
            <v>701.79700000000003</v>
          </cell>
          <cell r="H98">
            <v>747.02099999999996</v>
          </cell>
          <cell r="I98">
            <v>785.04300000000001</v>
          </cell>
          <cell r="J98">
            <v>812.64099999999996</v>
          </cell>
          <cell r="K98">
            <v>839.78599999999994</v>
          </cell>
          <cell r="L98">
            <v>906.76599999999996</v>
          </cell>
          <cell r="M98">
            <v>926.56</v>
          </cell>
          <cell r="N98">
            <v>664.76599999999996</v>
          </cell>
          <cell r="O98">
            <v>677.94500000000005</v>
          </cell>
          <cell r="P98">
            <v>194.923</v>
          </cell>
        </row>
        <row r="99">
          <cell r="C99" t="str">
            <v>097</v>
          </cell>
          <cell r="D99" t="str">
            <v>JORNAIS, LIVROS e ARTIGOS DE PAPELARIA</v>
          </cell>
          <cell r="E99" t="str">
            <v>095</v>
          </cell>
          <cell r="F99">
            <v>1119.271</v>
          </cell>
          <cell r="G99">
            <v>1151.7059999999999</v>
          </cell>
          <cell r="H99">
            <v>1063.2059999999999</v>
          </cell>
          <cell r="I99">
            <v>1075.258</v>
          </cell>
          <cell r="J99">
            <v>1075.769</v>
          </cell>
          <cell r="K99">
            <v>1073.942</v>
          </cell>
          <cell r="L99">
            <v>998.84100000000001</v>
          </cell>
          <cell r="M99">
            <v>1020.789</v>
          </cell>
          <cell r="N99">
            <v>865.65</v>
          </cell>
          <cell r="O99">
            <v>883.70299999999997</v>
          </cell>
          <cell r="P99">
            <v>873.32799999999997</v>
          </cell>
        </row>
        <row r="100">
          <cell r="C100" t="str">
            <v>098</v>
          </cell>
          <cell r="D100" t="str">
            <v>FÉRIAS ORGANIZADAS</v>
          </cell>
          <cell r="E100" t="str">
            <v>096</v>
          </cell>
          <cell r="F100">
            <v>462.28500000000003</v>
          </cell>
          <cell r="G100">
            <v>464.96699999999998</v>
          </cell>
          <cell r="H100">
            <v>498.34899999999999</v>
          </cell>
          <cell r="I100">
            <v>539.76199999999994</v>
          </cell>
          <cell r="J100">
            <v>653.04300000000001</v>
          </cell>
          <cell r="K100">
            <v>645.14099999999996</v>
          </cell>
          <cell r="L100">
            <v>708.09799999999996</v>
          </cell>
          <cell r="M100">
            <v>714.11599999999999</v>
          </cell>
          <cell r="N100">
            <v>240.994</v>
          </cell>
          <cell r="O100">
            <v>231.11799999999999</v>
          </cell>
          <cell r="P100">
            <v>292.30700000000002</v>
          </cell>
        </row>
        <row r="101">
          <cell r="C101" t="str">
            <v>101</v>
          </cell>
          <cell r="D101" t="str">
            <v>EDUCAÇÃO PRÉ-ESCOLAR e ENSINO BÁSICO (1.° e 2.° CICLO)</v>
          </cell>
          <cell r="E101" t="str">
            <v>101</v>
          </cell>
          <cell r="F101">
            <v>545.64700000000005</v>
          </cell>
          <cell r="G101">
            <v>554.096</v>
          </cell>
          <cell r="H101">
            <v>550.279</v>
          </cell>
          <cell r="I101">
            <v>554.16099999999994</v>
          </cell>
          <cell r="J101">
            <v>563.44000000000005</v>
          </cell>
          <cell r="K101">
            <v>568.779</v>
          </cell>
          <cell r="L101">
            <v>554.04600000000005</v>
          </cell>
          <cell r="M101">
            <v>554.95299999999997</v>
          </cell>
          <cell r="N101">
            <v>491.40100000000001</v>
          </cell>
          <cell r="O101">
            <v>477.68099999999998</v>
          </cell>
          <cell r="P101">
            <v>478.11599999999999</v>
          </cell>
        </row>
        <row r="102">
          <cell r="C102" t="str">
            <v>102</v>
          </cell>
          <cell r="D102" t="str">
            <v>ENSINO BÁSICO (3.°CICLO) e SECUNDÁRIO</v>
          </cell>
          <cell r="E102" t="str">
            <v>102</v>
          </cell>
          <cell r="F102">
            <v>185.179</v>
          </cell>
          <cell r="G102">
            <v>187.81</v>
          </cell>
          <cell r="H102">
            <v>187.46100000000001</v>
          </cell>
          <cell r="I102">
            <v>188.67500000000001</v>
          </cell>
          <cell r="J102">
            <v>193.16200000000001</v>
          </cell>
          <cell r="K102">
            <v>194.953</v>
          </cell>
          <cell r="L102">
            <v>221.167</v>
          </cell>
          <cell r="M102">
            <v>221.63399999999999</v>
          </cell>
          <cell r="N102">
            <v>240.35400000000001</v>
          </cell>
          <cell r="O102">
            <v>235.976</v>
          </cell>
          <cell r="P102">
            <v>319.178</v>
          </cell>
        </row>
        <row r="103">
          <cell r="C103" t="str">
            <v>103</v>
          </cell>
          <cell r="D103" t="str">
            <v>ENSINO PÓS-SECUNDÁRIO NÃO SUPERIOR</v>
          </cell>
          <cell r="E103" t="str">
            <v>103</v>
          </cell>
          <cell r="F103">
            <v>4.9960000000000004</v>
          </cell>
          <cell r="G103">
            <v>5.0949999999999998</v>
          </cell>
          <cell r="H103">
            <v>6.9729999999999999</v>
          </cell>
          <cell r="I103">
            <v>7.0179999999999998</v>
          </cell>
          <cell r="J103">
            <v>9.9819999999999993</v>
          </cell>
          <cell r="K103">
            <v>10.030999999999999</v>
          </cell>
          <cell r="L103">
            <v>14.788</v>
          </cell>
          <cell r="M103">
            <v>14.780000000000001</v>
          </cell>
          <cell r="N103">
            <v>19.173000000000002</v>
          </cell>
          <cell r="O103">
            <v>19.021000000000001</v>
          </cell>
          <cell r="P103">
            <v>26.349</v>
          </cell>
        </row>
        <row r="104">
          <cell r="C104" t="str">
            <v>104</v>
          </cell>
          <cell r="D104" t="str">
            <v>ENSINO SUPERIOR</v>
          </cell>
          <cell r="E104" t="str">
            <v>104</v>
          </cell>
          <cell r="F104">
            <v>709.202</v>
          </cell>
          <cell r="G104">
            <v>723.20899999999995</v>
          </cell>
          <cell r="H104">
            <v>704</v>
          </cell>
          <cell r="I104">
            <v>710.37199999999996</v>
          </cell>
          <cell r="J104">
            <v>702.125</v>
          </cell>
          <cell r="K104">
            <v>709.36699999999996</v>
          </cell>
          <cell r="L104">
            <v>639.51300000000003</v>
          </cell>
          <cell r="M104">
            <v>638.56600000000003</v>
          </cell>
          <cell r="N104">
            <v>507.36</v>
          </cell>
          <cell r="O104">
            <v>485.85199999999998</v>
          </cell>
          <cell r="P104">
            <v>423.05999999999995</v>
          </cell>
        </row>
        <row r="105">
          <cell r="C105" t="str">
            <v>105</v>
          </cell>
          <cell r="D105" t="str">
            <v>ENSINO NÃO DEFINIDO POR NÍVEIS</v>
          </cell>
          <cell r="E105" t="str">
            <v>105</v>
          </cell>
          <cell r="F105">
            <v>484.22699999999998</v>
          </cell>
          <cell r="G105">
            <v>473.01</v>
          </cell>
          <cell r="H105">
            <v>545.21600000000001</v>
          </cell>
          <cell r="I105">
            <v>540.51599999999996</v>
          </cell>
          <cell r="J105">
            <v>655.57</v>
          </cell>
          <cell r="K105">
            <v>658.51</v>
          </cell>
          <cell r="L105">
            <v>742.39800000000002</v>
          </cell>
          <cell r="M105">
            <v>756.30600000000004</v>
          </cell>
          <cell r="N105">
            <v>722.23400000000004</v>
          </cell>
          <cell r="O105">
            <v>732.71</v>
          </cell>
          <cell r="P105">
            <v>577.08799999999997</v>
          </cell>
        </row>
        <row r="106">
          <cell r="C106" t="str">
            <v>111</v>
          </cell>
          <cell r="D106" t="str">
            <v>SERVIÇOS DE FORNECIMENTO DE PRODUTOS ALIMENTARES e BEBIDAS</v>
          </cell>
          <cell r="E106" t="str">
            <v>111</v>
          </cell>
          <cell r="F106">
            <v>11041.01</v>
          </cell>
          <cell r="G106">
            <v>11082.834999999999</v>
          </cell>
          <cell r="H106">
            <v>11736.88</v>
          </cell>
          <cell r="I106">
            <v>11977.61</v>
          </cell>
          <cell r="J106">
            <v>12653.644</v>
          </cell>
          <cell r="K106">
            <v>12868.388000000001</v>
          </cell>
          <cell r="L106">
            <v>13608.682000000001</v>
          </cell>
          <cell r="M106">
            <v>13879.188</v>
          </cell>
          <cell r="N106">
            <v>8647.348</v>
          </cell>
          <cell r="O106">
            <v>8795.0759999999991</v>
          </cell>
          <cell r="P106">
            <v>10429.656000000001</v>
          </cell>
        </row>
        <row r="107">
          <cell r="C107" t="str">
            <v>112</v>
          </cell>
          <cell r="D107" t="str">
            <v>SERVIÇOS DE ALOJAMENTO</v>
          </cell>
          <cell r="E107" t="str">
            <v>112</v>
          </cell>
          <cell r="F107">
            <v>4073.1149999999998</v>
          </cell>
          <cell r="G107">
            <v>4287.2030000000004</v>
          </cell>
          <cell r="H107">
            <v>4716.0609999999997</v>
          </cell>
          <cell r="I107">
            <v>5170.7969999999996</v>
          </cell>
          <cell r="J107">
            <v>5565.6289999999999</v>
          </cell>
          <cell r="K107">
            <v>5889.7749999999996</v>
          </cell>
          <cell r="L107">
            <v>6160.7359999999999</v>
          </cell>
          <cell r="M107">
            <v>6399.5309999999999</v>
          </cell>
          <cell r="N107">
            <v>3566.723</v>
          </cell>
          <cell r="O107">
            <v>3391.962</v>
          </cell>
          <cell r="P107">
            <v>4008.86</v>
          </cell>
        </row>
        <row r="108">
          <cell r="C108" t="str">
            <v>121</v>
          </cell>
          <cell r="D108" t="str">
            <v>SEGUROS</v>
          </cell>
          <cell r="E108" t="str">
            <v>125</v>
          </cell>
          <cell r="F108">
            <v>2284.018</v>
          </cell>
          <cell r="G108">
            <v>2237.4659999999999</v>
          </cell>
          <cell r="H108">
            <v>2142.7950000000001</v>
          </cell>
          <cell r="I108">
            <v>2158.8440000000001</v>
          </cell>
          <cell r="J108">
            <v>2213.9470000000001</v>
          </cell>
          <cell r="K108">
            <v>2284.7260000000001</v>
          </cell>
          <cell r="L108">
            <v>2356.808</v>
          </cell>
          <cell r="M108">
            <v>2443.21</v>
          </cell>
          <cell r="N108">
            <v>2901.7649999999999</v>
          </cell>
          <cell r="O108">
            <v>2838.3820000000001</v>
          </cell>
          <cell r="P108">
            <v>2921.4760000000001</v>
          </cell>
        </row>
        <row r="109">
          <cell r="C109" t="str">
            <v>122</v>
          </cell>
          <cell r="D109" t="str">
            <v>SERVIÇOS FINANCEIROS</v>
          </cell>
          <cell r="E109" t="str">
            <v>126</v>
          </cell>
          <cell r="F109">
            <v>2549.6190000000001</v>
          </cell>
          <cell r="G109">
            <v>2814.1379999999999</v>
          </cell>
          <cell r="H109">
            <v>2816.7190000000001</v>
          </cell>
          <cell r="I109">
            <v>3036.7860000000001</v>
          </cell>
          <cell r="J109">
            <v>3221.5569999999998</v>
          </cell>
          <cell r="K109">
            <v>3261.3910000000001</v>
          </cell>
          <cell r="L109">
            <v>3413.806</v>
          </cell>
          <cell r="M109">
            <v>3273.386</v>
          </cell>
          <cell r="N109">
            <v>3257.123</v>
          </cell>
          <cell r="O109">
            <v>3158.69</v>
          </cell>
          <cell r="P109">
            <v>3201.7170000000001</v>
          </cell>
        </row>
        <row r="110">
          <cell r="C110" t="str">
            <v>131</v>
          </cell>
          <cell r="D110" t="str">
            <v>CUIDADOS PESSOAIS</v>
          </cell>
          <cell r="E110" t="str">
            <v>121</v>
          </cell>
          <cell r="F110">
            <v>2857.4319999999998</v>
          </cell>
          <cell r="G110">
            <v>2867.5309999999999</v>
          </cell>
          <cell r="H110">
            <v>2948.54</v>
          </cell>
          <cell r="I110">
            <v>2962.0459999999998</v>
          </cell>
          <cell r="J110">
            <v>3041.7220000000002</v>
          </cell>
          <cell r="K110">
            <v>3073.9290000000001</v>
          </cell>
          <cell r="L110">
            <v>3255.06</v>
          </cell>
          <cell r="M110">
            <v>3272.627</v>
          </cell>
          <cell r="N110">
            <v>2783.6309999999999</v>
          </cell>
          <cell r="O110">
            <v>2802.58</v>
          </cell>
          <cell r="P110">
            <v>2996.5740000000001</v>
          </cell>
        </row>
        <row r="111">
          <cell r="C111" t="str">
            <v>132</v>
          </cell>
          <cell r="D111" t="str">
            <v>ARTIGOS PESSOAIS N.E.</v>
          </cell>
          <cell r="E111" t="str">
            <v>123</v>
          </cell>
          <cell r="F111">
            <v>1294.6220000000001</v>
          </cell>
          <cell r="G111">
            <v>1299.395</v>
          </cell>
          <cell r="H111">
            <v>1571.556</v>
          </cell>
          <cell r="I111">
            <v>1460.222</v>
          </cell>
          <cell r="J111">
            <v>1585.5730000000001</v>
          </cell>
          <cell r="K111">
            <v>1592.155</v>
          </cell>
          <cell r="L111">
            <v>1632.308</v>
          </cell>
          <cell r="M111">
            <v>1587.2719999999999</v>
          </cell>
          <cell r="N111">
            <v>1110.9000000000001</v>
          </cell>
          <cell r="O111">
            <v>1118.8430000000001</v>
          </cell>
          <cell r="P111">
            <v>1115.05</v>
          </cell>
        </row>
        <row r="112">
          <cell r="C112" t="str">
            <v>133</v>
          </cell>
          <cell r="D112" t="str">
            <v>PROTEÇÃO SOCIAL</v>
          </cell>
          <cell r="E112" t="str">
            <v>124</v>
          </cell>
          <cell r="F112">
            <v>1762.731</v>
          </cell>
          <cell r="G112">
            <v>1820.904</v>
          </cell>
          <cell r="H112">
            <v>1894.21</v>
          </cell>
          <cell r="I112">
            <v>1968.329</v>
          </cell>
          <cell r="J112">
            <v>1999.576</v>
          </cell>
          <cell r="K112">
            <v>2054.1210000000001</v>
          </cell>
          <cell r="L112">
            <v>2156.529</v>
          </cell>
          <cell r="M112">
            <v>2164.915</v>
          </cell>
          <cell r="N112">
            <v>2140.0300000000002</v>
          </cell>
          <cell r="O112">
            <v>2193.143</v>
          </cell>
          <cell r="P112">
            <v>2412.0010000000002</v>
          </cell>
        </row>
        <row r="113">
          <cell r="C113" t="str">
            <v>139</v>
          </cell>
          <cell r="D113" t="str">
            <v>OUTROS SERVIÇOS N.E.</v>
          </cell>
          <cell r="E113" t="str">
            <v>127</v>
          </cell>
          <cell r="F113">
            <v>2188.1979999999999</v>
          </cell>
          <cell r="G113">
            <v>2219.4960000000001</v>
          </cell>
          <cell r="H113">
            <v>2238.5569999999998</v>
          </cell>
          <cell r="I113">
            <v>2258.3620000000001</v>
          </cell>
          <cell r="J113">
            <v>2344.0419999999999</v>
          </cell>
          <cell r="K113">
            <v>2401.3519999999999</v>
          </cell>
          <cell r="L113">
            <v>2488</v>
          </cell>
          <cell r="M113">
            <v>2550.6550000000002</v>
          </cell>
          <cell r="N113">
            <v>2147.7600000000002</v>
          </cell>
          <cell r="O113">
            <v>2149.8200000000002</v>
          </cell>
          <cell r="P113">
            <v>2388.855</v>
          </cell>
        </row>
      </sheetData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7"/>
      <sheetName val="QRE17_agreg"/>
      <sheetName val="QRE431X80_BP"/>
      <sheetName val="QRE80X80_BP"/>
      <sheetName val="QRE_P38"/>
      <sheetName val="QRE_P21"/>
      <sheetName val="Sheet1"/>
      <sheetName val="QERU2017"/>
      <sheetName val="QRE15"/>
      <sheetName val="QRE15_agreg"/>
      <sheetName val="QRE17_16"/>
      <sheetName val="QRE2"/>
    </sheetNames>
    <sheetDataSet>
      <sheetData sheetId="0"/>
      <sheetData sheetId="1">
        <row r="446">
          <cell r="ES446">
            <v>-14688775</v>
          </cell>
        </row>
        <row r="447">
          <cell r="ES447">
            <v>3171172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8"/>
      <sheetName val="QRE18_agreg"/>
      <sheetName val="QRE431X80_BP"/>
      <sheetName val="QRE80X80_BP"/>
      <sheetName val="QRE_P38"/>
      <sheetName val="QRE_P21"/>
      <sheetName val="Sheet1"/>
      <sheetName val="Sheet1_old"/>
      <sheetName val="Sheet2"/>
      <sheetName val="QERU2018"/>
      <sheetName val="QRE15"/>
      <sheetName val="QRE15_agreg"/>
      <sheetName val="QRE18_17"/>
      <sheetName val="QRE17"/>
    </sheetNames>
    <sheetDataSet>
      <sheetData sheetId="0"/>
      <sheetData sheetId="1">
        <row r="446">
          <cell r="ES446">
            <v>-16281924</v>
          </cell>
        </row>
        <row r="447">
          <cell r="ES447">
            <v>3551715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9"/>
      <sheetName val="QRE19_agreg"/>
      <sheetName val="QRE431X80_BP"/>
      <sheetName val="QRE80X80_BP"/>
      <sheetName val="QRE_P38"/>
      <sheetName val="QRE_P21"/>
      <sheetName val="Sheet1"/>
      <sheetName val="QERU2019"/>
      <sheetName val="QRE15"/>
      <sheetName val="QRE15_agreg"/>
      <sheetName val="QRE2"/>
      <sheetName val="QRE19_18"/>
    </sheetNames>
    <sheetDataSet>
      <sheetData sheetId="0"/>
      <sheetData sheetId="1">
        <row r="446">
          <cell r="ES446">
            <v>-17471897</v>
          </cell>
        </row>
        <row r="447">
          <cell r="ES447">
            <v>3969256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20"/>
      <sheetName val="QRE20_agreg"/>
      <sheetName val="QRE431X80_BP"/>
      <sheetName val="QRE80X80_BP"/>
      <sheetName val="QRE_P38"/>
      <sheetName val="QRE_P21"/>
      <sheetName val="Sheet1"/>
      <sheetName val="QERU2020"/>
      <sheetName val="QRE15"/>
      <sheetName val="QRE15_agreg"/>
      <sheetName val="QRE18_agreg"/>
      <sheetName val="QRE20_19"/>
    </sheetNames>
    <sheetDataSet>
      <sheetData sheetId="0"/>
      <sheetData sheetId="1">
        <row r="446">
          <cell r="ES446">
            <v>-7405055</v>
          </cell>
        </row>
        <row r="447">
          <cell r="ES447">
            <v>2127594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QRE_21_B16"/>
      <sheetName val="Diferença_QREbases"/>
      <sheetName val="ProcessTable_CRM"/>
      <sheetName val="QRE21"/>
      <sheetName val="QRE21_agreg"/>
      <sheetName val="QRE431X80_BP"/>
      <sheetName val="QRE80X80_BP"/>
      <sheetName val="QRE_P38"/>
      <sheetName val="QRE_P21"/>
      <sheetName val="Sheet1"/>
      <sheetName val="Diferença_QRE"/>
      <sheetName val="QERU2021"/>
      <sheetName val="QRE20"/>
      <sheetName val="QRE22"/>
      <sheetName val="QRE18"/>
    </sheetNames>
    <sheetDataSet>
      <sheetData sheetId="0"/>
      <sheetData sheetId="1"/>
      <sheetData sheetId="2"/>
      <sheetData sheetId="3">
        <row r="446">
          <cell r="ES446">
            <v>-9655375</v>
          </cell>
        </row>
        <row r="447">
          <cell r="ES447">
            <v>2769365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adMe"/>
      <sheetName val="COICOP_18"/>
      <sheetName val="Dados QREs"/>
      <sheetName val="P38"/>
      <sheetName val="Apuramentos"/>
      <sheetName val="Apoio_PPC"/>
      <sheetName val="Valida"/>
      <sheetName val="COICOP_2"/>
      <sheetName val="Consumo_por_objectivo_B21_2021"/>
      <sheetName val="Sheet1"/>
    </sheetNames>
    <sheetDataSet>
      <sheetData sheetId="0"/>
      <sheetData sheetId="1"/>
      <sheetData sheetId="2"/>
      <sheetData sheetId="3"/>
      <sheetData sheetId="4">
        <row r="4">
          <cell r="H4">
            <v>5014661</v>
          </cell>
        </row>
        <row r="5">
          <cell r="H5">
            <v>6764446</v>
          </cell>
        </row>
        <row r="6">
          <cell r="H6">
            <v>27772358</v>
          </cell>
        </row>
        <row r="7">
          <cell r="H7">
            <v>100937189</v>
          </cell>
        </row>
      </sheetData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nderadores_antes_altera_ensin"/>
      <sheetName val="Ensino_Sup"/>
      <sheetName val="Ensino_NSup"/>
      <sheetName val="Auxiliar"/>
      <sheetName val="Auxiliar2"/>
      <sheetName val="Sheet3"/>
      <sheetName val="Ponderadores"/>
      <sheetName val="PAA_revisto"/>
      <sheetName val="PAA"/>
      <sheetName val="PC_revisto"/>
      <sheetName val="PC"/>
      <sheetName val="CP4_PAA"/>
      <sheetName val="CP4_PC"/>
      <sheetName val="Durabilidade_PAA"/>
      <sheetName val="Durabilidade_PC"/>
      <sheetName val="Totais_PAA"/>
      <sheetName val="Totais_PC"/>
      <sheetName val="AlteraBase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3">
          <cell r="C133" t="str">
            <v>011</v>
          </cell>
          <cell r="D133" t="str">
            <v>PRODUTOS ALIMENTARES</v>
          </cell>
          <cell r="E133" t="str">
            <v>011</v>
          </cell>
          <cell r="F133">
            <v>10057.084999999999</v>
          </cell>
          <cell r="G133">
            <v>10519.49</v>
          </cell>
          <cell r="H133">
            <v>10814.308000000001</v>
          </cell>
          <cell r="I133">
            <v>11745.359</v>
          </cell>
          <cell r="J133">
            <v>12335.312</v>
          </cell>
          <cell r="K133">
            <v>12840.701999999999</v>
          </cell>
          <cell r="L133">
            <v>13912.536</v>
          </cell>
          <cell r="M133">
            <v>14364.34</v>
          </cell>
          <cell r="N133">
            <v>14882.427</v>
          </cell>
          <cell r="O133">
            <v>15421.088</v>
          </cell>
          <cell r="P133">
            <v>15537.69</v>
          </cell>
          <cell r="Q133">
            <v>16274.155000000001</v>
          </cell>
          <cell r="R133">
            <v>17187.675999999999</v>
          </cell>
          <cell r="S133">
            <v>18184.271000000001</v>
          </cell>
          <cell r="T133">
            <v>17719.621999999999</v>
          </cell>
        </row>
        <row r="134">
          <cell r="C134" t="str">
            <v>012</v>
          </cell>
          <cell r="D134" t="str">
            <v>BEBIDAS NÃO ALCOÓLICAS</v>
          </cell>
          <cell r="E134" t="str">
            <v>012</v>
          </cell>
          <cell r="F134">
            <v>675.47199999999998</v>
          </cell>
          <cell r="G134">
            <v>700.63900000000001</v>
          </cell>
          <cell r="H134">
            <v>714.22699999999998</v>
          </cell>
          <cell r="I134">
            <v>769.15599999999995</v>
          </cell>
          <cell r="J134">
            <v>800.90499999999997</v>
          </cell>
          <cell r="K134">
            <v>826.56</v>
          </cell>
          <cell r="L134">
            <v>870.78599999999994</v>
          </cell>
          <cell r="M134">
            <v>873.57899999999995</v>
          </cell>
          <cell r="N134">
            <v>878.76900000000001</v>
          </cell>
          <cell r="O134">
            <v>883.39700000000005</v>
          </cell>
          <cell r="P134">
            <v>862.78200000000004</v>
          </cell>
          <cell r="Q134">
            <v>875.18499999999995</v>
          </cell>
          <cell r="R134">
            <v>966.47799999999995</v>
          </cell>
          <cell r="S134">
            <v>1067.337</v>
          </cell>
          <cell r="T134">
            <v>1083.942</v>
          </cell>
        </row>
        <row r="135">
          <cell r="C135" t="str">
            <v>013</v>
          </cell>
          <cell r="D135" t="str">
            <v>SERVIÇOS PARA TRANSFORMAÇÃO DE BENS PRIMÁRIOS PARA PRODUTOS ALIMENTARES e BEBIDAS NÃO ALCOÓLICAS</v>
          </cell>
          <cell r="E135">
            <v>0</v>
          </cell>
          <cell r="F135"/>
          <cell r="G135"/>
          <cell r="H135"/>
          <cell r="I135"/>
          <cell r="J135"/>
          <cell r="K135"/>
          <cell r="L135"/>
          <cell r="M135"/>
          <cell r="N135"/>
          <cell r="O135"/>
          <cell r="P135"/>
          <cell r="Q135"/>
          <cell r="R135"/>
          <cell r="S135"/>
          <cell r="T135"/>
        </row>
        <row r="136">
          <cell r="C136" t="str">
            <v>021</v>
          </cell>
          <cell r="D136" t="str">
            <v>BEBIDAS ALCOÓLICAS</v>
          </cell>
          <cell r="E136" t="str">
            <v>021</v>
          </cell>
          <cell r="F136">
            <v>914.27800000000002</v>
          </cell>
          <cell r="G136">
            <v>954.39</v>
          </cell>
          <cell r="H136">
            <v>999.92100000000005</v>
          </cell>
          <cell r="I136">
            <v>1096.182</v>
          </cell>
          <cell r="J136">
            <v>1144.07</v>
          </cell>
          <cell r="K136">
            <v>1166.8109999999999</v>
          </cell>
          <cell r="L136">
            <v>1223.0619999999999</v>
          </cell>
          <cell r="M136">
            <v>1270.194</v>
          </cell>
          <cell r="N136">
            <v>1338.172</v>
          </cell>
          <cell r="O136">
            <v>1314.8520000000001</v>
          </cell>
          <cell r="P136">
            <v>1316.954</v>
          </cell>
          <cell r="Q136">
            <v>1419.5409999999999</v>
          </cell>
          <cell r="R136">
            <v>1296.261</v>
          </cell>
          <cell r="S136">
            <v>1308.5060000000001</v>
          </cell>
          <cell r="T136">
            <v>1294.193</v>
          </cell>
        </row>
        <row r="137">
          <cell r="C137" t="str">
            <v>022</v>
          </cell>
          <cell r="D137" t="str">
            <v>SERVIÇOS DE PRODUÇÃO DE ÁLCOOL</v>
          </cell>
          <cell r="E137">
            <v>0</v>
          </cell>
          <cell r="F137"/>
          <cell r="G137"/>
          <cell r="H137"/>
          <cell r="I137"/>
          <cell r="J137"/>
          <cell r="K137"/>
          <cell r="L137"/>
          <cell r="M137"/>
          <cell r="N137"/>
          <cell r="O137"/>
          <cell r="P137"/>
          <cell r="Q137"/>
          <cell r="R137"/>
          <cell r="S137"/>
          <cell r="T137"/>
        </row>
        <row r="138">
          <cell r="C138" t="str">
            <v>023</v>
          </cell>
          <cell r="D138" t="str">
            <v>TABACO</v>
          </cell>
          <cell r="E138" t="str">
            <v>022</v>
          </cell>
          <cell r="F138">
            <v>1120.7329999999999</v>
          </cell>
          <cell r="G138">
            <v>1200.127</v>
          </cell>
          <cell r="H138">
            <v>1289.5989999999997</v>
          </cell>
          <cell r="I138">
            <v>1451.0799999999997</v>
          </cell>
          <cell r="J138">
            <v>1553.6470000000002</v>
          </cell>
          <cell r="K138">
            <v>1625.076</v>
          </cell>
          <cell r="L138">
            <v>1758.6050000000002</v>
          </cell>
          <cell r="M138">
            <v>1886.0060000000001</v>
          </cell>
          <cell r="N138">
            <v>2051.4120000000003</v>
          </cell>
          <cell r="O138">
            <v>2085.049</v>
          </cell>
          <cell r="P138">
            <v>2159.085</v>
          </cell>
          <cell r="Q138">
            <v>2408.62</v>
          </cell>
          <cell r="R138">
            <v>2153.2040000000002</v>
          </cell>
          <cell r="S138">
            <v>2153.5569999999993</v>
          </cell>
          <cell r="T138">
            <v>2109.0100000000002</v>
          </cell>
        </row>
        <row r="139">
          <cell r="C139" t="str">
            <v>024</v>
          </cell>
          <cell r="D139" t="str">
            <v>NARCÓTICOS</v>
          </cell>
          <cell r="E139" t="str">
            <v>023</v>
          </cell>
          <cell r="F139">
            <v>52.805999999999997</v>
          </cell>
          <cell r="G139">
            <v>56.037999999999997</v>
          </cell>
          <cell r="H139">
            <v>60.805</v>
          </cell>
          <cell r="I139">
            <v>66.352999999999994</v>
          </cell>
          <cell r="J139">
            <v>71.332999999999998</v>
          </cell>
          <cell r="K139">
            <v>76.534999999999997</v>
          </cell>
          <cell r="L139">
            <v>80.835999999999999</v>
          </cell>
          <cell r="M139">
            <v>84.519000000000005</v>
          </cell>
          <cell r="N139">
            <v>99.326999999999998</v>
          </cell>
          <cell r="O139">
            <v>118.571</v>
          </cell>
          <cell r="P139">
            <v>126.218</v>
          </cell>
          <cell r="Q139">
            <v>129.255</v>
          </cell>
          <cell r="R139">
            <v>149.29499999999999</v>
          </cell>
          <cell r="S139">
            <v>139.494</v>
          </cell>
          <cell r="T139">
            <v>143.934</v>
          </cell>
        </row>
        <row r="140">
          <cell r="C140" t="str">
            <v>031</v>
          </cell>
          <cell r="D140" t="str">
            <v>VESTUÁRIO</v>
          </cell>
          <cell r="E140" t="str">
            <v>031</v>
          </cell>
          <cell r="F140">
            <v>3353.1309999999999</v>
          </cell>
          <cell r="G140">
            <v>3482.0379999999996</v>
          </cell>
          <cell r="H140">
            <v>3697.5199999999995</v>
          </cell>
          <cell r="I140">
            <v>4090.7709999999997</v>
          </cell>
          <cell r="J140">
            <v>4115.473</v>
          </cell>
          <cell r="K140">
            <v>4396.9929999999995</v>
          </cell>
          <cell r="L140">
            <v>4543.0859999999993</v>
          </cell>
          <cell r="M140">
            <v>4965.1269999999995</v>
          </cell>
          <cell r="N140">
            <v>4974.72</v>
          </cell>
          <cell r="O140">
            <v>5152.7069999999994</v>
          </cell>
          <cell r="P140">
            <v>5285.7370000000001</v>
          </cell>
          <cell r="Q140">
            <v>5624.7269999999999</v>
          </cell>
          <cell r="R140">
            <v>5692.375</v>
          </cell>
          <cell r="S140">
            <v>5665.3530000000001</v>
          </cell>
          <cell r="T140">
            <v>5383.3020000000006</v>
          </cell>
        </row>
        <row r="141">
          <cell r="C141" t="str">
            <v>032</v>
          </cell>
          <cell r="D141" t="str">
            <v>CALÇADO</v>
          </cell>
          <cell r="E141" t="str">
            <v>032</v>
          </cell>
          <cell r="F141">
            <v>720.19</v>
          </cell>
          <cell r="G141">
            <v>754.52700000000004</v>
          </cell>
          <cell r="H141">
            <v>807.92899999999997</v>
          </cell>
          <cell r="I141">
            <v>900.94299999999998</v>
          </cell>
          <cell r="J141">
            <v>914.2</v>
          </cell>
          <cell r="K141">
            <v>985.18399999999997</v>
          </cell>
          <cell r="L141">
            <v>1038.5650000000001</v>
          </cell>
          <cell r="M141">
            <v>1157.4649999999999</v>
          </cell>
          <cell r="N141">
            <v>1183.731</v>
          </cell>
          <cell r="O141">
            <v>1250.2470000000001</v>
          </cell>
          <cell r="P141">
            <v>1307.3040000000001</v>
          </cell>
          <cell r="Q141">
            <v>1417.5989999999999</v>
          </cell>
          <cell r="R141">
            <v>1528.086</v>
          </cell>
          <cell r="S141">
            <v>1616.345</v>
          </cell>
          <cell r="T141">
            <v>1628.16</v>
          </cell>
        </row>
        <row r="142">
          <cell r="C142" t="str">
            <v>041</v>
          </cell>
          <cell r="D142" t="str">
            <v>RENDAS EFETIVAS PELA HABITAÇÃO</v>
          </cell>
          <cell r="E142" t="str">
            <v>041</v>
          </cell>
          <cell r="F142">
            <v>1475.1569999999999</v>
          </cell>
          <cell r="G142">
            <v>1566.2340000000002</v>
          </cell>
          <cell r="H142">
            <v>1645.8209999999999</v>
          </cell>
          <cell r="I142">
            <v>1734.3380000000002</v>
          </cell>
          <cell r="J142">
            <v>1836.7720000000008</v>
          </cell>
          <cell r="K142">
            <v>1954.2400000000005</v>
          </cell>
          <cell r="L142">
            <v>2076.85</v>
          </cell>
          <cell r="M142">
            <v>2255.8909999999992</v>
          </cell>
          <cell r="N142">
            <v>2408.2919999999995</v>
          </cell>
          <cell r="O142">
            <v>2509.1990000000005</v>
          </cell>
          <cell r="P142">
            <v>2659.7490000000003</v>
          </cell>
          <cell r="Q142">
            <v>2805.5749999999989</v>
          </cell>
          <cell r="R142">
            <v>2950.116</v>
          </cell>
          <cell r="S142">
            <v>3094.0319999999997</v>
          </cell>
          <cell r="T142">
            <v>3195.4760000000006</v>
          </cell>
        </row>
        <row r="143">
          <cell r="C143" t="str">
            <v>042</v>
          </cell>
          <cell r="D143" t="str">
            <v>RENDAS IMPUTADAS PELA HABITAÇÃO</v>
          </cell>
          <cell r="E143" t="str">
            <v>042</v>
          </cell>
          <cell r="F143">
            <v>4020.761</v>
          </cell>
          <cell r="G143">
            <v>4269.0039999999999</v>
          </cell>
          <cell r="H143">
            <v>4485.9290000000001</v>
          </cell>
          <cell r="I143">
            <v>4727.1959999999999</v>
          </cell>
          <cell r="J143">
            <v>5006.3959999999997</v>
          </cell>
          <cell r="K143">
            <v>5326.5709999999999</v>
          </cell>
          <cell r="L143">
            <v>5778.1319999999996</v>
          </cell>
          <cell r="M143">
            <v>6407.0240000000003</v>
          </cell>
          <cell r="N143">
            <v>6992.8190000000004</v>
          </cell>
          <cell r="O143">
            <v>7475.68</v>
          </cell>
          <cell r="P143">
            <v>8036.433</v>
          </cell>
          <cell r="Q143">
            <v>8553.5030000000006</v>
          </cell>
          <cell r="R143">
            <v>9214.1110000000008</v>
          </cell>
          <cell r="S143">
            <v>9943.0609999999997</v>
          </cell>
          <cell r="T143">
            <v>10665.731</v>
          </cell>
        </row>
        <row r="144">
          <cell r="C144" t="str">
            <v>043</v>
          </cell>
          <cell r="D144" t="str">
            <v>MANUTENÇÃO, REPARAÇÃO e SEGURANÇA DAS HABITAÇÕES</v>
          </cell>
          <cell r="E144" t="str">
            <v>043</v>
          </cell>
          <cell r="F144">
            <v>246.09520584839257</v>
          </cell>
          <cell r="G144">
            <v>253.34124838285385</v>
          </cell>
          <cell r="H144">
            <v>256.57770727755246</v>
          </cell>
          <cell r="I144">
            <v>259.26519862603209</v>
          </cell>
          <cell r="J144">
            <v>259.04659498491685</v>
          </cell>
          <cell r="K144">
            <v>259.74234739283344</v>
          </cell>
          <cell r="L144">
            <v>269.54863347480784</v>
          </cell>
          <cell r="M144">
            <v>286.00557021096665</v>
          </cell>
          <cell r="N144">
            <v>292.82253170017975</v>
          </cell>
          <cell r="O144">
            <v>300.71382935467784</v>
          </cell>
          <cell r="P144">
            <v>320.26861837921263</v>
          </cell>
          <cell r="Q144">
            <v>333.16778522107455</v>
          </cell>
          <cell r="R144">
            <v>356.43875298907398</v>
          </cell>
          <cell r="S144">
            <v>376.78176237929279</v>
          </cell>
          <cell r="T144">
            <v>364.72237349707649</v>
          </cell>
        </row>
        <row r="145">
          <cell r="C145" t="str">
            <v>044</v>
          </cell>
          <cell r="D145" t="str">
            <v xml:space="preserve">ABASTECIMENTO DE ÁGUA e SERVIÇOS DIVERSOS RELACIONADOS COM A HABITAÇÃO </v>
          </cell>
          <cell r="E145" t="str">
            <v>044</v>
          </cell>
          <cell r="F145">
            <v>310.72860129671551</v>
          </cell>
          <cell r="G145">
            <v>339.48162421117553</v>
          </cell>
          <cell r="H145">
            <v>366.46416989275201</v>
          </cell>
          <cell r="I145">
            <v>393.13062926078254</v>
          </cell>
          <cell r="J145">
            <v>428.24476614878404</v>
          </cell>
          <cell r="K145">
            <v>461.76665515826909</v>
          </cell>
          <cell r="L145">
            <v>495.73165582225778</v>
          </cell>
          <cell r="M145">
            <v>514.20448835223272</v>
          </cell>
          <cell r="N145">
            <v>615.04882337674235</v>
          </cell>
          <cell r="O145">
            <v>676.12536444839634</v>
          </cell>
          <cell r="P145">
            <v>719.8466990519903</v>
          </cell>
          <cell r="Q145">
            <v>799.49552660274117</v>
          </cell>
          <cell r="R145">
            <v>882.66463007538232</v>
          </cell>
          <cell r="S145">
            <v>957.07489317733439</v>
          </cell>
          <cell r="T145">
            <v>1008.5743143563159</v>
          </cell>
        </row>
        <row r="146">
          <cell r="C146" t="str">
            <v>045</v>
          </cell>
          <cell r="D146" t="str">
            <v>ELECTRICIDADE, GÁS e OUTROS COMBUSTÍVEIS</v>
          </cell>
          <cell r="E146" t="str">
            <v>045</v>
          </cell>
          <cell r="F146">
            <v>1551.3499999999997</v>
          </cell>
          <cell r="G146">
            <v>1651.3000000000002</v>
          </cell>
          <cell r="H146">
            <v>1750.2690000000002</v>
          </cell>
          <cell r="I146">
            <v>1859.4469999999999</v>
          </cell>
          <cell r="J146">
            <v>1954.3600000000001</v>
          </cell>
          <cell r="K146">
            <v>2124.3409999999999</v>
          </cell>
          <cell r="L146">
            <v>2308.9679999999994</v>
          </cell>
          <cell r="M146">
            <v>2443.4050000000002</v>
          </cell>
          <cell r="N146">
            <v>2621.4639999999995</v>
          </cell>
          <cell r="O146">
            <v>2842.0969999999993</v>
          </cell>
          <cell r="P146">
            <v>3104.6660000000002</v>
          </cell>
          <cell r="Q146">
            <v>3216.1420000000007</v>
          </cell>
          <cell r="R146">
            <v>3442.3859999999981</v>
          </cell>
          <cell r="S146">
            <v>3629.9870000000005</v>
          </cell>
          <cell r="T146">
            <v>3544.5819999999994</v>
          </cell>
        </row>
        <row r="147">
          <cell r="C147" t="str">
            <v>051</v>
          </cell>
          <cell r="D147" t="str">
            <v>MOBILIÁRIO, ACESSÓRIOS e CARPETES</v>
          </cell>
          <cell r="E147" t="str">
            <v>051</v>
          </cell>
          <cell r="F147">
            <v>1002.3819726075515</v>
          </cell>
          <cell r="G147">
            <v>1150.6114674431806</v>
          </cell>
          <cell r="H147">
            <v>1281.6128420259788</v>
          </cell>
          <cell r="I147">
            <v>1436.8453127982318</v>
          </cell>
          <cell r="J147">
            <v>1605.9257955715723</v>
          </cell>
          <cell r="K147">
            <v>1783.8440866235562</v>
          </cell>
          <cell r="L147">
            <v>1697.0034802469843</v>
          </cell>
          <cell r="M147">
            <v>1610.2437936814576</v>
          </cell>
          <cell r="N147">
            <v>1534.6783392897194</v>
          </cell>
          <cell r="O147">
            <v>1597.8162655923381</v>
          </cell>
          <cell r="P147">
            <v>1689.5627573807287</v>
          </cell>
          <cell r="Q147">
            <v>2028.4159285399669</v>
          </cell>
          <cell r="R147">
            <v>2108.4875439757088</v>
          </cell>
          <cell r="S147">
            <v>2226.0971772992189</v>
          </cell>
          <cell r="T147">
            <v>1875.1411322325253</v>
          </cell>
        </row>
        <row r="148">
          <cell r="C148" t="str">
            <v>052</v>
          </cell>
          <cell r="D148" t="str">
            <v>TÊXTEIS DE USO DOMÉSTICO</v>
          </cell>
          <cell r="E148" t="str">
            <v>052</v>
          </cell>
          <cell r="F148">
            <v>306.28399999999999</v>
          </cell>
          <cell r="G148">
            <v>354.79</v>
          </cell>
          <cell r="H148">
            <v>398.46800000000002</v>
          </cell>
          <cell r="I148">
            <v>450.12099999999998</v>
          </cell>
          <cell r="J148">
            <v>506.58800000000002</v>
          </cell>
          <cell r="K148">
            <v>566.31299999999999</v>
          </cell>
          <cell r="L148">
            <v>557.03599999999994</v>
          </cell>
          <cell r="M148">
            <v>570.20100000000002</v>
          </cell>
          <cell r="N148">
            <v>548.29100000000005</v>
          </cell>
          <cell r="O148">
            <v>522.13699999999994</v>
          </cell>
          <cell r="P148">
            <v>523.38900000000001</v>
          </cell>
          <cell r="Q148">
            <v>510.45</v>
          </cell>
          <cell r="R148">
            <v>591.9</v>
          </cell>
          <cell r="S148">
            <v>663.16700000000003</v>
          </cell>
          <cell r="T148">
            <v>682.87199999999996</v>
          </cell>
        </row>
        <row r="149">
          <cell r="C149" t="str">
            <v>053</v>
          </cell>
          <cell r="D149" t="str">
            <v>ELETRODOMÉSTICOS</v>
          </cell>
          <cell r="E149" t="str">
            <v>053</v>
          </cell>
          <cell r="F149">
            <v>739.69253273377285</v>
          </cell>
          <cell r="G149">
            <v>809.43984093594372</v>
          </cell>
          <cell r="H149">
            <v>861.09615010107063</v>
          </cell>
          <cell r="I149">
            <v>923.59047589678494</v>
          </cell>
          <cell r="J149">
            <v>989.11731640455707</v>
          </cell>
          <cell r="K149">
            <v>1054.2863363335134</v>
          </cell>
          <cell r="L149">
            <v>1075.6789318192364</v>
          </cell>
          <cell r="M149">
            <v>1144.4080424045876</v>
          </cell>
          <cell r="N149">
            <v>1146.1963513332639</v>
          </cell>
          <cell r="O149">
            <v>1139.6376213426654</v>
          </cell>
          <cell r="P149">
            <v>1195.8946792279401</v>
          </cell>
          <cell r="Q149">
            <v>1224.5951090074916</v>
          </cell>
          <cell r="R149">
            <v>1291.610135496491</v>
          </cell>
          <cell r="S149">
            <v>1328.1957961759667</v>
          </cell>
          <cell r="T149">
            <v>1264.7209981833014</v>
          </cell>
        </row>
        <row r="150">
          <cell r="C150" t="str">
            <v>054</v>
          </cell>
          <cell r="D150" t="str">
            <v>VIDROS, LOIÇAS e OUTROS UTENSÍLIOS DE USO DOMÉSTICO</v>
          </cell>
          <cell r="E150" t="str">
            <v>054</v>
          </cell>
          <cell r="F150">
            <v>599.89946726622725</v>
          </cell>
          <cell r="G150">
            <v>606.71915906405638</v>
          </cell>
          <cell r="H150">
            <v>592.11884989892951</v>
          </cell>
          <cell r="I150">
            <v>577.46852410321503</v>
          </cell>
          <cell r="J150">
            <v>556.25768359544293</v>
          </cell>
          <cell r="K150">
            <v>526.12266366648669</v>
          </cell>
          <cell r="L150">
            <v>513.2130681807638</v>
          </cell>
          <cell r="M150">
            <v>520.53595759541247</v>
          </cell>
          <cell r="N150">
            <v>495.45564866673624</v>
          </cell>
          <cell r="O150">
            <v>466.48237865733461</v>
          </cell>
          <cell r="P150">
            <v>461.66032077205983</v>
          </cell>
          <cell r="Q150">
            <v>443.78089099250838</v>
          </cell>
          <cell r="R150">
            <v>444.79486450350907</v>
          </cell>
          <cell r="S150">
            <v>433.69420382403331</v>
          </cell>
          <cell r="T150">
            <v>390.61700181669869</v>
          </cell>
        </row>
        <row r="151">
          <cell r="C151" t="str">
            <v>055</v>
          </cell>
          <cell r="D151" t="str">
            <v>FERRAMENTAS e EQUIPAMENTO PARA CASA e JARDIM</v>
          </cell>
          <cell r="E151" t="str">
            <v>055</v>
          </cell>
          <cell r="F151">
            <v>78.22722024734064</v>
          </cell>
          <cell r="G151">
            <v>75.940659962790207</v>
          </cell>
          <cell r="H151">
            <v>70.430280803716798</v>
          </cell>
          <cell r="I151">
            <v>64.348859314953444</v>
          </cell>
          <cell r="J151">
            <v>56.836843294726869</v>
          </cell>
          <cell r="K151">
            <v>47.608910825341333</v>
          </cell>
          <cell r="L151">
            <v>49.906230455950116</v>
          </cell>
          <cell r="M151">
            <v>54.533147755342767</v>
          </cell>
          <cell r="N151">
            <v>56.079305633358743</v>
          </cell>
          <cell r="O151">
            <v>57.234540604587686</v>
          </cell>
          <cell r="P151">
            <v>61.631925188068685</v>
          </cell>
          <cell r="Q151">
            <v>64.745759636217343</v>
          </cell>
          <cell r="R151">
            <v>74.508072959834692</v>
          </cell>
          <cell r="S151">
            <v>82.95216714415389</v>
          </cell>
          <cell r="T151">
            <v>84.96017991408236</v>
          </cell>
        </row>
        <row r="152">
          <cell r="C152" t="str">
            <v>056</v>
          </cell>
          <cell r="D152" t="str">
            <v>BENS e SERVIÇOS PARA A MANUTENÇÃO CORRENTE DA HABITAÇÃO</v>
          </cell>
          <cell r="E152" t="str">
            <v>056</v>
          </cell>
          <cell r="F152">
            <v>950.47299999999973</v>
          </cell>
          <cell r="G152">
            <v>1055.0859999999998</v>
          </cell>
          <cell r="H152">
            <v>1138.5599999999995</v>
          </cell>
          <cell r="I152">
            <v>1238.7209999999991</v>
          </cell>
          <cell r="J152">
            <v>1345.4079999999999</v>
          </cell>
          <cell r="K152">
            <v>1454.0890000000004</v>
          </cell>
          <cell r="L152">
            <v>1692.9560000000001</v>
          </cell>
          <cell r="M152">
            <v>2091.2350000000001</v>
          </cell>
          <cell r="N152">
            <v>2265.5019999999995</v>
          </cell>
          <cell r="O152">
            <v>2270.7829999999994</v>
          </cell>
          <cell r="P152">
            <v>2467.9800000000005</v>
          </cell>
          <cell r="Q152">
            <v>2323.3119999999999</v>
          </cell>
          <cell r="R152">
            <v>2401.63</v>
          </cell>
          <cell r="S152">
            <v>2328.2380000000003</v>
          </cell>
          <cell r="T152">
            <v>2390.6410000000001</v>
          </cell>
        </row>
        <row r="153">
          <cell r="C153" t="str">
            <v>061</v>
          </cell>
          <cell r="D153" t="str">
            <v>MEDICAMENTOS e PRODUTOS DE SAÚDE</v>
          </cell>
          <cell r="E153" t="str">
            <v>061</v>
          </cell>
          <cell r="F153">
            <v>699.07896391268832</v>
          </cell>
          <cell r="G153">
            <v>813.58457996028903</v>
          </cell>
          <cell r="H153">
            <v>967.67719284728082</v>
          </cell>
          <cell r="I153">
            <v>1083.8841835693638</v>
          </cell>
          <cell r="J153">
            <v>1388.5862419431417</v>
          </cell>
          <cell r="K153">
            <v>1590.9732857239467</v>
          </cell>
          <cell r="L153">
            <v>1650.1687225759567</v>
          </cell>
          <cell r="M153">
            <v>1793.3855207015267</v>
          </cell>
          <cell r="N153">
            <v>1927.3842785918935</v>
          </cell>
          <cell r="O153">
            <v>2035.7945939121803</v>
          </cell>
          <cell r="P153">
            <v>2157.9215158763382</v>
          </cell>
          <cell r="Q153">
            <v>2267.8258629438055</v>
          </cell>
          <cell r="R153">
            <v>2384.6403490650341</v>
          </cell>
          <cell r="S153">
            <v>2396.4492069993062</v>
          </cell>
          <cell r="T153">
            <v>2299.7130735997648</v>
          </cell>
        </row>
        <row r="154">
          <cell r="C154" t="str">
            <v>062</v>
          </cell>
          <cell r="D154" t="str">
            <v>SERVIÇOS DE SAÚDE EM AMBULATÓRIO</v>
          </cell>
          <cell r="E154" t="str">
            <v>062</v>
          </cell>
          <cell r="F154">
            <v>1789.8031860873118</v>
          </cell>
          <cell r="G154">
            <v>1768.485070039711</v>
          </cell>
          <cell r="H154">
            <v>1765.7621571527188</v>
          </cell>
          <cell r="I154">
            <v>1671.3762164306363</v>
          </cell>
          <cell r="J154">
            <v>1803.6084580568586</v>
          </cell>
          <cell r="K154">
            <v>1742.312514276053</v>
          </cell>
          <cell r="L154">
            <v>1778.2534774240432</v>
          </cell>
          <cell r="M154">
            <v>1898.758329298473</v>
          </cell>
          <cell r="N154">
            <v>2014.9857714081063</v>
          </cell>
          <cell r="O154">
            <v>2111.23015608782</v>
          </cell>
          <cell r="P154">
            <v>2204.5177341236622</v>
          </cell>
          <cell r="Q154">
            <v>2264.1248870561944</v>
          </cell>
          <cell r="R154">
            <v>2659.7456509349659</v>
          </cell>
          <cell r="S154">
            <v>2985.3173930006938</v>
          </cell>
          <cell r="T154">
            <v>3225.501776400235</v>
          </cell>
        </row>
        <row r="155">
          <cell r="C155" t="str">
            <v>063</v>
          </cell>
          <cell r="D155" t="str">
            <v>SERVIÇOS DE SAÚDE EM ESTABELECIMENTOS HOSPITALARES COM INTERNAMENTO</v>
          </cell>
          <cell r="E155" t="str">
            <v>063</v>
          </cell>
          <cell r="F155">
            <v>35.207000000000001</v>
          </cell>
          <cell r="G155">
            <v>35.692999999999998</v>
          </cell>
          <cell r="H155">
            <v>76.45</v>
          </cell>
          <cell r="I155">
            <v>117.04900000000001</v>
          </cell>
          <cell r="J155">
            <v>182.70099999999999</v>
          </cell>
          <cell r="K155">
            <v>229.471</v>
          </cell>
          <cell r="L155">
            <v>227.959</v>
          </cell>
          <cell r="M155">
            <v>236.65</v>
          </cell>
          <cell r="N155">
            <v>243.92</v>
          </cell>
          <cell r="O155">
            <v>247.95599999999999</v>
          </cell>
          <cell r="P155">
            <v>250.80699999999999</v>
          </cell>
          <cell r="Q155">
            <v>265.76600000000002</v>
          </cell>
          <cell r="R155">
            <v>289.745</v>
          </cell>
          <cell r="S155">
            <v>302.58499999999998</v>
          </cell>
          <cell r="T155">
            <v>304.92099999999999</v>
          </cell>
        </row>
        <row r="156">
          <cell r="C156" t="str">
            <v>064</v>
          </cell>
          <cell r="D156" t="str">
            <v>OUTROS SERVIÇOS DE SAÚDE</v>
          </cell>
          <cell r="E156" t="str">
            <v>062</v>
          </cell>
          <cell r="F156">
            <v>93.01885</v>
          </cell>
          <cell r="G156">
            <v>91.70335</v>
          </cell>
          <cell r="H156">
            <v>91.29965</v>
          </cell>
          <cell r="I156">
            <v>86.135600000000011</v>
          </cell>
          <cell r="J156">
            <v>92.580300000000008</v>
          </cell>
          <cell r="K156">
            <v>89.012200000000007</v>
          </cell>
          <cell r="L156">
            <v>90.80380000000001</v>
          </cell>
          <cell r="M156">
            <v>96.904150000000016</v>
          </cell>
          <cell r="N156">
            <v>102.79495</v>
          </cell>
          <cell r="O156">
            <v>107.67725000000002</v>
          </cell>
          <cell r="P156">
            <v>112.38074999999999</v>
          </cell>
          <cell r="Q156">
            <v>115.33225</v>
          </cell>
          <cell r="R156">
            <v>135.95699999999999</v>
          </cell>
          <cell r="S156">
            <v>153.07239999999999</v>
          </cell>
          <cell r="T156">
            <v>165.87715000000003</v>
          </cell>
        </row>
        <row r="157">
          <cell r="C157" t="str">
            <v>071</v>
          </cell>
          <cell r="D157" t="str">
            <v>AQUISIÇÃO DE VEÍCULOS</v>
          </cell>
          <cell r="E157" t="str">
            <v>071</v>
          </cell>
          <cell r="F157">
            <v>3581.9250000000002</v>
          </cell>
          <cell r="G157">
            <v>3927.7779999999998</v>
          </cell>
          <cell r="H157">
            <v>4340.2269999999999</v>
          </cell>
          <cell r="I157">
            <v>5191.9269999999997</v>
          </cell>
          <cell r="J157">
            <v>6036.88</v>
          </cell>
          <cell r="K157">
            <v>6349.1840000000002</v>
          </cell>
          <cell r="L157">
            <v>5764.0659999999998</v>
          </cell>
          <cell r="M157">
            <v>5510.9440000000004</v>
          </cell>
          <cell r="N157">
            <v>4817.5919999999996</v>
          </cell>
          <cell r="O157">
            <v>5419.5370000000003</v>
          </cell>
          <cell r="P157">
            <v>5859.6080000000002</v>
          </cell>
          <cell r="Q157">
            <v>5874.1949999999997</v>
          </cell>
          <cell r="R157">
            <v>6225.6940000000004</v>
          </cell>
          <cell r="S157">
            <v>6016.8019999999997</v>
          </cell>
          <cell r="T157">
            <v>4572.6279999999997</v>
          </cell>
        </row>
        <row r="158">
          <cell r="C158" t="str">
            <v>072</v>
          </cell>
          <cell r="D158" t="str">
            <v>UTILIZAÇÃO DE EQUIPAMENTO PARA TRANSPORTE PESSOAL</v>
          </cell>
          <cell r="E158" t="str">
            <v>072</v>
          </cell>
          <cell r="F158">
            <v>4301.5640000000003</v>
          </cell>
          <cell r="G158">
            <v>4620.6719999999996</v>
          </cell>
          <cell r="H158">
            <v>5056.777</v>
          </cell>
          <cell r="I158">
            <v>5311.7049999999999</v>
          </cell>
          <cell r="J158">
            <v>5614.393</v>
          </cell>
          <cell r="K158">
            <v>6413.2269999999999</v>
          </cell>
          <cell r="L158">
            <v>6815.1260000000002</v>
          </cell>
          <cell r="M158">
            <v>6989.28</v>
          </cell>
          <cell r="N158">
            <v>7374.9709999999995</v>
          </cell>
          <cell r="O158">
            <v>7742.3909999999996</v>
          </cell>
          <cell r="P158">
            <v>8417.5570000000007</v>
          </cell>
          <cell r="Q158">
            <v>8681.0840000000007</v>
          </cell>
          <cell r="R158">
            <v>9080.6749999999993</v>
          </cell>
          <cell r="S158">
            <v>9264.8029999999999</v>
          </cell>
          <cell r="T158">
            <v>8178.6469999999999</v>
          </cell>
        </row>
        <row r="159">
          <cell r="C159" t="str">
            <v>073</v>
          </cell>
          <cell r="D159" t="str">
            <v>SERVIÇOS DE TRANSPORTE DE PASSAGEIROS</v>
          </cell>
          <cell r="E159" t="str">
            <v>073</v>
          </cell>
          <cell r="F159">
            <v>861.16541731354118</v>
          </cell>
          <cell r="G159">
            <v>897.97552542640574</v>
          </cell>
          <cell r="H159">
            <v>1030.2870372154628</v>
          </cell>
          <cell r="I159">
            <v>1070.3348867908887</v>
          </cell>
          <cell r="J159">
            <v>1207.9369040381787</v>
          </cell>
          <cell r="K159">
            <v>1376.861027695619</v>
          </cell>
          <cell r="L159">
            <v>1438.6733623952236</v>
          </cell>
          <cell r="M159">
            <v>1494.1498579789354</v>
          </cell>
          <cell r="N159">
            <v>1514.581742180754</v>
          </cell>
          <cell r="O159">
            <v>1602.6580850290645</v>
          </cell>
          <cell r="P159">
            <v>1671.2720706939203</v>
          </cell>
          <cell r="Q159">
            <v>1740.9283976490951</v>
          </cell>
          <cell r="R159">
            <v>1910.6604604885054</v>
          </cell>
          <cell r="S159">
            <v>2105.3408873025242</v>
          </cell>
          <cell r="T159">
            <v>1935.6776489119486</v>
          </cell>
        </row>
        <row r="160">
          <cell r="C160" t="str">
            <v>074</v>
          </cell>
          <cell r="D160" t="str">
            <v>SERVIÇOS DE TRANSPORTE DE BENS</v>
          </cell>
          <cell r="E160" t="str">
            <v>081</v>
          </cell>
          <cell r="F160">
            <v>133.43958268645872</v>
          </cell>
          <cell r="G160">
            <v>132.96247457359422</v>
          </cell>
          <cell r="H160">
            <v>139.3689627845371</v>
          </cell>
          <cell r="I160">
            <v>137.0671132091114</v>
          </cell>
          <cell r="J160">
            <v>135.68409596182121</v>
          </cell>
          <cell r="K160">
            <v>142.2889723043811</v>
          </cell>
          <cell r="L160">
            <v>163.76663760477638</v>
          </cell>
          <cell r="M160">
            <v>169.18514202106462</v>
          </cell>
          <cell r="N160">
            <v>162.95325781924595</v>
          </cell>
          <cell r="O160">
            <v>161.0609149709355</v>
          </cell>
          <cell r="P160">
            <v>154.39592930607975</v>
          </cell>
          <cell r="Q160">
            <v>150.33060235090468</v>
          </cell>
          <cell r="R160">
            <v>150.09553951149465</v>
          </cell>
          <cell r="S160">
            <v>151.17211269747565</v>
          </cell>
          <cell r="T160">
            <v>140.70835108805124</v>
          </cell>
        </row>
        <row r="161">
          <cell r="C161" t="str">
            <v>081</v>
          </cell>
          <cell r="D161" t="str">
            <v>EQUIPAMENTO DE INFORMAÇÃO e COMUNICAÇÃO</v>
          </cell>
          <cell r="E161" t="str">
            <v>082</v>
          </cell>
          <cell r="F161">
            <v>494.99199999999996</v>
          </cell>
          <cell r="G161">
            <v>544.54349999999999</v>
          </cell>
          <cell r="H161">
            <v>548.03699999999992</v>
          </cell>
          <cell r="I161">
            <v>627.83849999999995</v>
          </cell>
          <cell r="J161">
            <v>698.8075</v>
          </cell>
          <cell r="K161">
            <v>718.53450000000009</v>
          </cell>
          <cell r="L161">
            <v>730.36599999999999</v>
          </cell>
          <cell r="M161">
            <v>746.17499999999995</v>
          </cell>
          <cell r="N161">
            <v>734.26250000000005</v>
          </cell>
          <cell r="O161">
            <v>730.66049999999996</v>
          </cell>
          <cell r="P161">
            <v>789.65599999999995</v>
          </cell>
          <cell r="Q161">
            <v>822.33400000000006</v>
          </cell>
          <cell r="R161">
            <v>784.98250000000007</v>
          </cell>
          <cell r="S161">
            <v>744.14149999999995</v>
          </cell>
          <cell r="T161">
            <v>661.43700000000001</v>
          </cell>
        </row>
        <row r="162">
          <cell r="C162" t="str">
            <v>082</v>
          </cell>
          <cell r="D162" t="str">
            <v>PROGRAMAS INFORMÁTICOS (SOFTWARE) EXCLUINDO JOGOS</v>
          </cell>
          <cell r="E162" t="str">
            <v>091</v>
          </cell>
          <cell r="F162">
            <v>2.6857003715359786</v>
          </cell>
          <cell r="G162">
            <v>2.9552729684399108</v>
          </cell>
          <cell r="H162">
            <v>2.9690883957012355</v>
          </cell>
          <cell r="I162">
            <v>3.404176791737958</v>
          </cell>
          <cell r="J162">
            <v>3.7896621150395204</v>
          </cell>
          <cell r="K162">
            <v>3.8907370670619983</v>
          </cell>
          <cell r="L162">
            <v>3.9278960867557262</v>
          </cell>
          <cell r="M162">
            <v>3.989715108203157</v>
          </cell>
          <cell r="N162">
            <v>3.9038736778257008</v>
          </cell>
          <cell r="O162">
            <v>3.8575932332104812</v>
          </cell>
          <cell r="P162">
            <v>4.156956805151764</v>
          </cell>
          <cell r="Q162">
            <v>4.3290299166866868</v>
          </cell>
          <cell r="R162">
            <v>4.0810310424804657</v>
          </cell>
          <cell r="S162">
            <v>3.8096748346171943</v>
          </cell>
          <cell r="T162">
            <v>3.3294272778965479</v>
          </cell>
        </row>
        <row r="163">
          <cell r="C163" t="str">
            <v>083</v>
          </cell>
          <cell r="D163" t="str">
            <v>SERVIÇOS DE INFORMAÇÃO e COMUNICAÇÃO</v>
          </cell>
          <cell r="E163" t="str">
            <v>083</v>
          </cell>
          <cell r="F163">
            <v>1354.1480979224466</v>
          </cell>
          <cell r="G163">
            <v>1469.8234892513549</v>
          </cell>
          <cell r="H163">
            <v>1674.0525206643456</v>
          </cell>
          <cell r="I163">
            <v>1819.5303975456161</v>
          </cell>
          <cell r="J163">
            <v>2008.4941161463275</v>
          </cell>
          <cell r="K163">
            <v>2290.5692609901644</v>
          </cell>
          <cell r="L163">
            <v>2767.1121184161011</v>
          </cell>
          <cell r="M163">
            <v>3049.9066363486245</v>
          </cell>
          <cell r="N163">
            <v>3164.6620655970937</v>
          </cell>
          <cell r="O163">
            <v>3382.8462229902134</v>
          </cell>
          <cell r="P163">
            <v>3558.9044444722986</v>
          </cell>
          <cell r="Q163">
            <v>3721.0132511096422</v>
          </cell>
          <cell r="R163">
            <v>3785.4183240551765</v>
          </cell>
          <cell r="S163">
            <v>3880.0927656371769</v>
          </cell>
          <cell r="T163">
            <v>3698.0303754753436</v>
          </cell>
        </row>
        <row r="164">
          <cell r="C164" t="str">
            <v>091</v>
          </cell>
          <cell r="D164" t="str">
            <v>BENS RECREATIVOS DURADOUROS</v>
          </cell>
          <cell r="E164" t="str">
            <v>091</v>
          </cell>
          <cell r="F164">
            <v>504.7063233476635</v>
          </cell>
          <cell r="G164">
            <v>556.3052732705878</v>
          </cell>
          <cell r="H164">
            <v>562.06461272910258</v>
          </cell>
          <cell r="I164">
            <v>644.05873052404763</v>
          </cell>
          <cell r="J164">
            <v>718.07374627741387</v>
          </cell>
          <cell r="K164">
            <v>741.35135802511638</v>
          </cell>
          <cell r="L164">
            <v>751.51780153710513</v>
          </cell>
          <cell r="M164">
            <v>766.54467080839686</v>
          </cell>
          <cell r="N164">
            <v>753.89684493999312</v>
          </cell>
          <cell r="O164">
            <v>749.6701134092209</v>
          </cell>
          <cell r="P164">
            <v>810.92498805522678</v>
          </cell>
          <cell r="Q164">
            <v>846.36301628061358</v>
          </cell>
          <cell r="R164">
            <v>799.12187147570353</v>
          </cell>
          <cell r="S164">
            <v>747.36356730096907</v>
          </cell>
          <cell r="T164">
            <v>654.59820481013799</v>
          </cell>
        </row>
        <row r="165">
          <cell r="C165" t="str">
            <v>092</v>
          </cell>
          <cell r="D165" t="str">
            <v>OUTROS BENS RECREATIVOS</v>
          </cell>
          <cell r="E165" t="str">
            <v>093</v>
          </cell>
          <cell r="F165">
            <v>296.3243433485751</v>
          </cell>
          <cell r="G165">
            <v>307.7162754524569</v>
          </cell>
          <cell r="H165">
            <v>320.6245647406306</v>
          </cell>
          <cell r="I165">
            <v>329.28917840621523</v>
          </cell>
          <cell r="J165">
            <v>344.92943346206022</v>
          </cell>
          <cell r="K165">
            <v>362.69152632920054</v>
          </cell>
          <cell r="L165">
            <v>372.49739130818125</v>
          </cell>
          <cell r="M165">
            <v>385.11555446258285</v>
          </cell>
          <cell r="N165">
            <v>388.61167396016674</v>
          </cell>
          <cell r="O165">
            <v>402.40826706295638</v>
          </cell>
          <cell r="P165">
            <v>438.32581603352924</v>
          </cell>
          <cell r="Q165">
            <v>451.31642944204128</v>
          </cell>
          <cell r="R165">
            <v>487.51580574393296</v>
          </cell>
          <cell r="S165">
            <v>522.82787408750266</v>
          </cell>
          <cell r="T165">
            <v>528.4133000907641</v>
          </cell>
        </row>
        <row r="166">
          <cell r="C166" t="str">
            <v>093</v>
          </cell>
          <cell r="D166" t="str">
            <v>PRODUTOS DE JARDINAGEM e ANIMAIS DE ESTIMAÇÃO</v>
          </cell>
          <cell r="E166" t="str">
            <v>093</v>
          </cell>
          <cell r="F166">
            <v>509.89137221656188</v>
          </cell>
          <cell r="G166">
            <v>529.49370332107492</v>
          </cell>
          <cell r="H166">
            <v>551.7052613177558</v>
          </cell>
          <cell r="I166">
            <v>566.61463967576083</v>
          </cell>
          <cell r="J166">
            <v>593.52714717387346</v>
          </cell>
          <cell r="K166">
            <v>624.09074449132538</v>
          </cell>
          <cell r="L166">
            <v>640.96389737981826</v>
          </cell>
          <cell r="M166">
            <v>662.67622939056344</v>
          </cell>
          <cell r="N166">
            <v>668.69207388012376</v>
          </cell>
          <cell r="O166">
            <v>692.43215446074544</v>
          </cell>
          <cell r="P166">
            <v>754.23621728024045</v>
          </cell>
          <cell r="Q166">
            <v>776.58943207842287</v>
          </cell>
          <cell r="R166">
            <v>838.87844096434776</v>
          </cell>
          <cell r="S166">
            <v>899.64064085667178</v>
          </cell>
          <cell r="T166">
            <v>909.25159788110659</v>
          </cell>
        </row>
        <row r="167">
          <cell r="C167" t="str">
            <v>094</v>
          </cell>
          <cell r="D167" t="str">
            <v>SERVIÇOS RECREATIVOS</v>
          </cell>
          <cell r="E167" t="str">
            <v>094</v>
          </cell>
          <cell r="F167">
            <v>669.64309710642704</v>
          </cell>
          <cell r="G167">
            <v>711.36000339258703</v>
          </cell>
          <cell r="H167">
            <v>755.44842131603673</v>
          </cell>
          <cell r="I167">
            <v>798.13476124074168</v>
          </cell>
          <cell r="J167">
            <v>858.69848643223963</v>
          </cell>
          <cell r="K167">
            <v>923.37261936847176</v>
          </cell>
          <cell r="L167">
            <v>962.23688990231244</v>
          </cell>
          <cell r="M167">
            <v>1008.4856594818903</v>
          </cell>
          <cell r="N167">
            <v>1041.0579743553315</v>
          </cell>
          <cell r="O167">
            <v>1096.1418652223449</v>
          </cell>
          <cell r="P167">
            <v>1216.50394536613</v>
          </cell>
          <cell r="Q167">
            <v>1279.2006542357335</v>
          </cell>
          <cell r="R167">
            <v>1298.0081120264661</v>
          </cell>
          <cell r="S167">
            <v>1310.2501299502148</v>
          </cell>
          <cell r="T167">
            <v>1248.4118776521329</v>
          </cell>
        </row>
        <row r="168">
          <cell r="C168" t="str">
            <v>095</v>
          </cell>
          <cell r="D168" t="str">
            <v>BENS CULTURAIS</v>
          </cell>
          <cell r="E168" t="str">
            <v>092</v>
          </cell>
          <cell r="F168">
            <v>23.283976280800324</v>
          </cell>
          <cell r="G168">
            <v>26.786953760972089</v>
          </cell>
          <cell r="H168">
            <v>30.830298875195961</v>
          </cell>
          <cell r="I168">
            <v>34.888592684214302</v>
          </cell>
          <cell r="J168">
            <v>40.182091607546404</v>
          </cell>
          <cell r="K168">
            <v>46.37140490782145</v>
          </cell>
          <cell r="L168">
            <v>50.642302376138979</v>
          </cell>
          <cell r="M168">
            <v>55.407614083399665</v>
          </cell>
          <cell r="N168">
            <v>58.984781382181055</v>
          </cell>
          <cell r="O168">
            <v>64.128793357568426</v>
          </cell>
          <cell r="P168">
            <v>72.923055139621255</v>
          </cell>
          <cell r="Q168">
            <v>78.261953802699551</v>
          </cell>
          <cell r="R168">
            <v>75.322597481815734</v>
          </cell>
          <cell r="S168">
            <v>72.022257864413518</v>
          </cell>
          <cell r="T168">
            <v>64.738367911965312</v>
          </cell>
        </row>
        <row r="169">
          <cell r="C169" t="str">
            <v>096</v>
          </cell>
          <cell r="D169" t="str">
            <v>SERVIÇOS CULTURAIS</v>
          </cell>
          <cell r="E169" t="str">
            <v>094</v>
          </cell>
          <cell r="F169">
            <v>515.52008940598978</v>
          </cell>
          <cell r="G169">
            <v>549.4585285825267</v>
          </cell>
          <cell r="H169">
            <v>585.10223196123093</v>
          </cell>
          <cell r="I169">
            <v>620.60102313166669</v>
          </cell>
          <cell r="J169">
            <v>670.10381678549902</v>
          </cell>
          <cell r="K169">
            <v>722.69284882083798</v>
          </cell>
          <cell r="L169">
            <v>754.51870299358723</v>
          </cell>
          <cell r="M169">
            <v>792.14692031633967</v>
          </cell>
          <cell r="N169">
            <v>820.03821220728344</v>
          </cell>
          <cell r="O169">
            <v>865.17249026373906</v>
          </cell>
          <cell r="P169">
            <v>962.30557684780194</v>
          </cell>
          <cell r="Q169">
            <v>1014.3772331341597</v>
          </cell>
          <cell r="R169">
            <v>1021.6663172100768</v>
          </cell>
          <cell r="S169">
            <v>1023.3805894684351</v>
          </cell>
          <cell r="T169">
            <v>967.27684890065291</v>
          </cell>
        </row>
        <row r="170">
          <cell r="C170" t="str">
            <v>097</v>
          </cell>
          <cell r="D170" t="str">
            <v>JORNAIS, LIVROS e ARTIGOS DE PAPELARIA</v>
          </cell>
          <cell r="E170" t="str">
            <v>095</v>
          </cell>
          <cell r="F170">
            <v>853.81200000000001</v>
          </cell>
          <cell r="G170">
            <v>948.82299999999998</v>
          </cell>
          <cell r="H170">
            <v>1058.287</v>
          </cell>
          <cell r="I170">
            <v>1163.8320000000001</v>
          </cell>
          <cell r="J170">
            <v>1305.797</v>
          </cell>
          <cell r="K170">
            <v>1471.1030000000001</v>
          </cell>
          <cell r="L170">
            <v>1452.846</v>
          </cell>
          <cell r="M170">
            <v>1442.223</v>
          </cell>
          <cell r="N170">
            <v>1396.854</v>
          </cell>
          <cell r="O170">
            <v>1384.7260000000001</v>
          </cell>
          <cell r="P170">
            <v>1438.2460000000001</v>
          </cell>
          <cell r="Q170">
            <v>1411.7650000000001</v>
          </cell>
          <cell r="R170">
            <v>1562.058</v>
          </cell>
          <cell r="S170">
            <v>1713.8510000000001</v>
          </cell>
          <cell r="T170">
            <v>1766.701</v>
          </cell>
        </row>
        <row r="171">
          <cell r="C171" t="str">
            <v>098</v>
          </cell>
          <cell r="D171" t="str">
            <v>FÉRIAS ORGANIZADAS</v>
          </cell>
          <cell r="E171" t="str">
            <v>096</v>
          </cell>
          <cell r="F171">
            <v>316.649</v>
          </cell>
          <cell r="G171">
            <v>331.54199999999997</v>
          </cell>
          <cell r="H171">
            <v>456.44200000000001</v>
          </cell>
          <cell r="I171">
            <v>417.96899999999999</v>
          </cell>
          <cell r="J171">
            <v>444.51299999999998</v>
          </cell>
          <cell r="K171">
            <v>601.14</v>
          </cell>
          <cell r="L171">
            <v>596.54899999999998</v>
          </cell>
          <cell r="M171">
            <v>595.22900000000004</v>
          </cell>
          <cell r="N171">
            <v>599.35799999999995</v>
          </cell>
          <cell r="O171">
            <v>638.29399999999998</v>
          </cell>
          <cell r="P171">
            <v>652.54100000000005</v>
          </cell>
          <cell r="Q171">
            <v>596.88800000000003</v>
          </cell>
          <cell r="R171">
            <v>573.35799999999995</v>
          </cell>
          <cell r="S171">
            <v>547.02800000000002</v>
          </cell>
          <cell r="T171">
            <v>490.47500000000002</v>
          </cell>
        </row>
        <row r="172">
          <cell r="C172" t="str">
            <v>101</v>
          </cell>
          <cell r="D172" t="str">
            <v>EDUCAÇÃO PRÉ-ESCOLAR e ENSINO BÁSICO (1.° e 2.° CICLO)</v>
          </cell>
          <cell r="E172" t="str">
            <v>101</v>
          </cell>
          <cell r="F172">
            <v>160.62700000000001</v>
          </cell>
          <cell r="G172">
            <v>167.297</v>
          </cell>
          <cell r="H172">
            <v>187.392</v>
          </cell>
          <cell r="I172">
            <v>192.88900000000001</v>
          </cell>
          <cell r="J172">
            <v>210.303</v>
          </cell>
          <cell r="K172">
            <v>241.41499999999999</v>
          </cell>
          <cell r="L172">
            <v>266.27</v>
          </cell>
          <cell r="M172">
            <v>284.54399999999998</v>
          </cell>
          <cell r="N172">
            <v>299.73200000000003</v>
          </cell>
          <cell r="O172">
            <v>329.68700000000001</v>
          </cell>
          <cell r="P172">
            <v>347.82</v>
          </cell>
          <cell r="Q172">
            <v>365.51299999999998</v>
          </cell>
          <cell r="R172">
            <v>401.452</v>
          </cell>
          <cell r="S172">
            <v>463.892</v>
          </cell>
          <cell r="T172">
            <v>520.39599999999996</v>
          </cell>
        </row>
        <row r="173">
          <cell r="C173" t="str">
            <v>102</v>
          </cell>
          <cell r="D173" t="str">
            <v>ENSINO BÁSICO (3.°CICLO) e SECUNDÁRIO</v>
          </cell>
          <cell r="E173" t="str">
            <v>102</v>
          </cell>
          <cell r="F173">
            <v>98.888000000000005</v>
          </cell>
          <cell r="G173">
            <v>102.941</v>
          </cell>
          <cell r="H173">
            <v>122.12700000000001</v>
          </cell>
          <cell r="I173">
            <v>124.24799999999999</v>
          </cell>
          <cell r="J173">
            <v>139.33500000000001</v>
          </cell>
          <cell r="K173">
            <v>158.55699999999999</v>
          </cell>
          <cell r="L173">
            <v>167.00599999999997</v>
          </cell>
          <cell r="M173">
            <v>172.92000000000002</v>
          </cell>
          <cell r="N173">
            <v>174.96199999999999</v>
          </cell>
          <cell r="O173">
            <v>185.64499999999998</v>
          </cell>
          <cell r="P173">
            <v>193.39</v>
          </cell>
          <cell r="Q173">
            <v>199.58800000000002</v>
          </cell>
          <cell r="R173">
            <v>197.45</v>
          </cell>
          <cell r="S173">
            <v>197.37799999999999</v>
          </cell>
          <cell r="T173">
            <v>184.928</v>
          </cell>
        </row>
        <row r="174">
          <cell r="C174" t="str">
            <v>103</v>
          </cell>
          <cell r="D174" t="str">
            <v>ENSINO PÓS-SECUNDÁRIO NÃO SUPERIOR</v>
          </cell>
          <cell r="E174" t="str">
            <v>103</v>
          </cell>
          <cell r="F174">
            <v>8.6980000000000004</v>
          </cell>
          <cell r="G174">
            <v>8.8940000000000001</v>
          </cell>
          <cell r="H174">
            <v>9.8279999999999994</v>
          </cell>
          <cell r="I174">
            <v>9.93</v>
          </cell>
          <cell r="J174">
            <v>10.664</v>
          </cell>
          <cell r="K174">
            <v>12.084</v>
          </cell>
          <cell r="L174">
            <v>10.913</v>
          </cell>
          <cell r="M174">
            <v>9.4429999999999996</v>
          </cell>
          <cell r="N174">
            <v>7.6660000000000004</v>
          </cell>
          <cell r="O174">
            <v>5.92</v>
          </cell>
          <cell r="P174">
            <v>3.823</v>
          </cell>
          <cell r="Q174">
            <v>1.425</v>
          </cell>
          <cell r="R174">
            <v>2.0009999999999999</v>
          </cell>
          <cell r="S174">
            <v>2.7130000000000001</v>
          </cell>
          <cell r="T174">
            <v>3.4359999999999999</v>
          </cell>
        </row>
        <row r="175">
          <cell r="C175" t="str">
            <v>104</v>
          </cell>
          <cell r="D175" t="str">
            <v>ENSINO SUPERIOR</v>
          </cell>
          <cell r="E175" t="str">
            <v>104</v>
          </cell>
          <cell r="F175">
            <v>313.58500000000004</v>
          </cell>
          <cell r="G175">
            <v>312.20600000000002</v>
          </cell>
          <cell r="H175">
            <v>339.98899999999998</v>
          </cell>
          <cell r="I175">
            <v>335.01599999999996</v>
          </cell>
          <cell r="J175">
            <v>345.584</v>
          </cell>
          <cell r="K175">
            <v>391.59800000000001</v>
          </cell>
          <cell r="L175">
            <v>415.54700000000003</v>
          </cell>
          <cell r="M175">
            <v>448.08600000000001</v>
          </cell>
          <cell r="N175">
            <v>467.12400000000002</v>
          </cell>
          <cell r="O175">
            <v>499.75900000000001</v>
          </cell>
          <cell r="P175">
            <v>540.78300000000002</v>
          </cell>
          <cell r="Q175">
            <v>571.99900000000002</v>
          </cell>
          <cell r="R175">
            <v>597.95299999999997</v>
          </cell>
          <cell r="S175">
            <v>640.28300000000002</v>
          </cell>
          <cell r="T175">
            <v>670.69200000000001</v>
          </cell>
        </row>
        <row r="176">
          <cell r="C176" t="str">
            <v>105</v>
          </cell>
          <cell r="D176" t="str">
            <v>ENSINO NÃO DEFINIDO POR NÍVEIS</v>
          </cell>
          <cell r="E176" t="str">
            <v>105</v>
          </cell>
          <cell r="F176">
            <v>216.9729999999999</v>
          </cell>
          <cell r="G176">
            <v>225.52699999999996</v>
          </cell>
          <cell r="H176">
            <v>243.202</v>
          </cell>
          <cell r="I176">
            <v>249.92300000000006</v>
          </cell>
          <cell r="J176">
            <v>273.48799999999994</v>
          </cell>
          <cell r="K176">
            <v>306.20100000000014</v>
          </cell>
          <cell r="L176">
            <v>323.33399999999995</v>
          </cell>
          <cell r="M176">
            <v>333.92999999999995</v>
          </cell>
          <cell r="N176">
            <v>350.63499999999982</v>
          </cell>
          <cell r="O176">
            <v>377.63499999999999</v>
          </cell>
          <cell r="P176">
            <v>402.87999999999994</v>
          </cell>
          <cell r="Q176">
            <v>438.38600000000014</v>
          </cell>
          <cell r="R176">
            <v>465.25900000000001</v>
          </cell>
          <cell r="S176">
            <v>503.60900000000021</v>
          </cell>
          <cell r="T176">
            <v>530.27000000000021</v>
          </cell>
        </row>
        <row r="177">
          <cell r="C177" t="str">
            <v>111</v>
          </cell>
          <cell r="D177" t="str">
            <v>SERVIÇOS DE FORNECIMENTO DE PRODUTOS ALIMENTARES e BEBIDAS</v>
          </cell>
          <cell r="E177" t="str">
            <v>111</v>
          </cell>
          <cell r="F177">
            <v>4708.4669999999996</v>
          </cell>
          <cell r="G177">
            <v>4982.1580000000004</v>
          </cell>
          <cell r="H177">
            <v>5373.5429999999997</v>
          </cell>
          <cell r="I177">
            <v>5906.1559999999999</v>
          </cell>
          <cell r="J177">
            <v>6182.3519999999999</v>
          </cell>
          <cell r="K177">
            <v>6768.6329999999998</v>
          </cell>
          <cell r="L177">
            <v>7314.1</v>
          </cell>
          <cell r="M177">
            <v>7702.91</v>
          </cell>
          <cell r="N177">
            <v>7807.22</v>
          </cell>
          <cell r="O177">
            <v>8381.4500000000007</v>
          </cell>
          <cell r="P177">
            <v>8823.1859999999997</v>
          </cell>
          <cell r="Q177">
            <v>9351.3279999999995</v>
          </cell>
          <cell r="R177">
            <v>9896.0210000000006</v>
          </cell>
          <cell r="S177">
            <v>9884.982</v>
          </cell>
          <cell r="T177">
            <v>9767.1650000000009</v>
          </cell>
        </row>
        <row r="178">
          <cell r="C178" t="str">
            <v>112</v>
          </cell>
          <cell r="D178" t="str">
            <v>SERVIÇOS DE ALOJAMENTO</v>
          </cell>
          <cell r="E178" t="str">
            <v>112</v>
          </cell>
          <cell r="F178">
            <v>1455.354</v>
          </cell>
          <cell r="G178">
            <v>1525.8630000000001</v>
          </cell>
          <cell r="H178">
            <v>1630.6030000000001</v>
          </cell>
          <cell r="I178">
            <v>1775.6690000000001</v>
          </cell>
          <cell r="J178">
            <v>1841.451</v>
          </cell>
          <cell r="K178">
            <v>1997.2660000000001</v>
          </cell>
          <cell r="L178">
            <v>2074.9960000000001</v>
          </cell>
          <cell r="M178">
            <v>2099.1770000000001</v>
          </cell>
          <cell r="N178">
            <v>2041.8209999999999</v>
          </cell>
          <cell r="O178">
            <v>2101.4850000000001</v>
          </cell>
          <cell r="P178">
            <v>2118.5749999999998</v>
          </cell>
          <cell r="Q178">
            <v>2147.7860000000001</v>
          </cell>
          <cell r="R178">
            <v>2304.4760000000001</v>
          </cell>
          <cell r="S178">
            <v>2333.6210000000001</v>
          </cell>
          <cell r="T178">
            <v>2337.3090000000002</v>
          </cell>
        </row>
        <row r="179">
          <cell r="C179" t="str">
            <v>121</v>
          </cell>
          <cell r="D179" t="str">
            <v>SEGUROS</v>
          </cell>
          <cell r="E179" t="str">
            <v>125</v>
          </cell>
          <cell r="F179">
            <v>727.79700000000003</v>
          </cell>
          <cell r="G179">
            <v>721.43100000000004</v>
          </cell>
          <cell r="H179">
            <v>732.39700000000005</v>
          </cell>
          <cell r="I179">
            <v>725.20399999999995</v>
          </cell>
          <cell r="J179">
            <v>767.61699999999996</v>
          </cell>
          <cell r="K179">
            <v>783.19899999999996</v>
          </cell>
          <cell r="L179">
            <v>921.22500000000002</v>
          </cell>
          <cell r="M179">
            <v>1065.347</v>
          </cell>
          <cell r="N179">
            <v>1265.24</v>
          </cell>
          <cell r="O179">
            <v>1472.1669999999999</v>
          </cell>
          <cell r="P179">
            <v>1699.212</v>
          </cell>
          <cell r="Q179">
            <v>2049.942</v>
          </cell>
          <cell r="R179">
            <v>2603.94</v>
          </cell>
          <cell r="S179">
            <v>3074.9749999999999</v>
          </cell>
          <cell r="T179">
            <v>2943.3209999999999</v>
          </cell>
        </row>
        <row r="180">
          <cell r="C180" t="str">
            <v>122</v>
          </cell>
          <cell r="D180" t="str">
            <v>SERVIÇOS FINANCEIROS</v>
          </cell>
          <cell r="E180" t="str">
            <v>126</v>
          </cell>
          <cell r="F180">
            <v>1417.2929999999999</v>
          </cell>
          <cell r="G180">
            <v>1576.3869999999999</v>
          </cell>
          <cell r="H180">
            <v>1795.479</v>
          </cell>
          <cell r="I180">
            <v>1995.895</v>
          </cell>
          <cell r="J180">
            <v>2375.1309999999999</v>
          </cell>
          <cell r="K180">
            <v>2730.6950000000002</v>
          </cell>
          <cell r="L180">
            <v>2854.201</v>
          </cell>
          <cell r="M180">
            <v>2972.9929999999999</v>
          </cell>
          <cell r="N180">
            <v>3214.857</v>
          </cell>
          <cell r="O180">
            <v>3436.2449999999999</v>
          </cell>
          <cell r="P180">
            <v>3670.518</v>
          </cell>
          <cell r="Q180">
            <v>4123.7889999999998</v>
          </cell>
          <cell r="R180">
            <v>4513.46</v>
          </cell>
          <cell r="S180">
            <v>4621.3689999999997</v>
          </cell>
          <cell r="T180">
            <v>3852.8020000000001</v>
          </cell>
        </row>
        <row r="181">
          <cell r="C181" t="str">
            <v>131</v>
          </cell>
          <cell r="D181" t="str">
            <v>CUIDADOS PESSOAIS</v>
          </cell>
          <cell r="E181" t="str">
            <v>121</v>
          </cell>
          <cell r="F181">
            <v>982.21900000000005</v>
          </cell>
          <cell r="G181">
            <v>962.62399999999866</v>
          </cell>
          <cell r="H181">
            <v>995.59900000000039</v>
          </cell>
          <cell r="I181">
            <v>998.81099999999878</v>
          </cell>
          <cell r="J181">
            <v>1058.1709999999994</v>
          </cell>
          <cell r="K181">
            <v>1132.2530000000004</v>
          </cell>
          <cell r="L181">
            <v>1288.111999999998</v>
          </cell>
          <cell r="M181">
            <v>1459.9870000000008</v>
          </cell>
          <cell r="N181">
            <v>1665.0900000000013</v>
          </cell>
          <cell r="O181">
            <v>1941.2250000000013</v>
          </cell>
          <cell r="P181">
            <v>2236.3370000000004</v>
          </cell>
          <cell r="Q181">
            <v>2699.1940000000013</v>
          </cell>
          <cell r="R181">
            <v>3018.7249999999985</v>
          </cell>
          <cell r="S181">
            <v>3176.4179999999988</v>
          </cell>
          <cell r="T181">
            <v>2536.8740000000003</v>
          </cell>
        </row>
        <row r="182">
          <cell r="C182" t="str">
            <v>132</v>
          </cell>
          <cell r="D182" t="str">
            <v>ARTIGOS PESSOAIS N.E.</v>
          </cell>
          <cell r="E182" t="str">
            <v>123</v>
          </cell>
          <cell r="F182">
            <v>434.17500000000001</v>
          </cell>
          <cell r="G182">
            <v>525.55600000000004</v>
          </cell>
          <cell r="H182">
            <v>641.84199999999998</v>
          </cell>
          <cell r="I182">
            <v>756.55600000000004</v>
          </cell>
          <cell r="J182">
            <v>946.49599999999998</v>
          </cell>
          <cell r="K182">
            <v>1136.29</v>
          </cell>
          <cell r="L182">
            <v>1125.769</v>
          </cell>
          <cell r="M182">
            <v>1108.7919999999999</v>
          </cell>
          <cell r="N182">
            <v>1130.675</v>
          </cell>
          <cell r="O182">
            <v>1136.248</v>
          </cell>
          <cell r="P182">
            <v>1137.2739999999999</v>
          </cell>
          <cell r="Q182">
            <v>1192.6949999999999</v>
          </cell>
          <cell r="R182">
            <v>1329.4359999999999</v>
          </cell>
          <cell r="S182">
            <v>1388.4939999999999</v>
          </cell>
          <cell r="T182">
            <v>1182.914</v>
          </cell>
        </row>
        <row r="183">
          <cell r="C183" t="str">
            <v>133</v>
          </cell>
          <cell r="D183" t="str">
            <v>PROTEÇÃO SOCIAL</v>
          </cell>
          <cell r="E183" t="str">
            <v>124</v>
          </cell>
          <cell r="F183">
            <v>862.76900000000001</v>
          </cell>
          <cell r="G183">
            <v>903.28700000000003</v>
          </cell>
          <cell r="H183">
            <v>971.70799999999997</v>
          </cell>
          <cell r="I183">
            <v>1023.279</v>
          </cell>
          <cell r="J183">
            <v>1156.6990000000001</v>
          </cell>
          <cell r="K183">
            <v>1266.3219999999999</v>
          </cell>
          <cell r="L183">
            <v>1215.5909999999999</v>
          </cell>
          <cell r="M183">
            <v>1154.8330000000001</v>
          </cell>
          <cell r="N183">
            <v>1129.597</v>
          </cell>
          <cell r="O183">
            <v>1081.279</v>
          </cell>
          <cell r="P183">
            <v>1021.65</v>
          </cell>
          <cell r="Q183">
            <v>999.49699999999996</v>
          </cell>
          <cell r="R183">
            <v>1250.807</v>
          </cell>
          <cell r="S183">
            <v>1458.6859999999999</v>
          </cell>
          <cell r="T183">
            <v>1381.4259999999999</v>
          </cell>
        </row>
        <row r="184">
          <cell r="C184" t="str">
            <v>139</v>
          </cell>
          <cell r="D184" t="str">
            <v>OUTROS SERVIÇOS N.E.</v>
          </cell>
          <cell r="E184" t="str">
            <v>127</v>
          </cell>
          <cell r="F184">
            <v>1578.441</v>
          </cell>
          <cell r="G184">
            <v>1605.7530000000002</v>
          </cell>
          <cell r="H184">
            <v>1665.819</v>
          </cell>
          <cell r="I184">
            <v>1700.058</v>
          </cell>
          <cell r="J184">
            <v>1814.0079999999998</v>
          </cell>
          <cell r="K184">
            <v>1904.8600000000001</v>
          </cell>
          <cell r="L184">
            <v>1890.1690000000003</v>
          </cell>
          <cell r="M184">
            <v>1862.7749999999999</v>
          </cell>
          <cell r="N184">
            <v>1866.9630000000002</v>
          </cell>
          <cell r="O184">
            <v>1854.3209999999999</v>
          </cell>
          <cell r="P184">
            <v>1831.085</v>
          </cell>
          <cell r="Q184">
            <v>1862.547</v>
          </cell>
          <cell r="R184">
            <v>2137.8020000000001</v>
          </cell>
          <cell r="S184">
            <v>2339.7780000000002</v>
          </cell>
          <cell r="T184">
            <v>2215.2669999999998</v>
          </cell>
        </row>
      </sheetData>
      <sheetData sheetId="11"/>
      <sheetData sheetId="12"/>
      <sheetData sheetId="13"/>
      <sheetData sheetId="14">
        <row r="6">
          <cell r="F6">
            <v>3450.703</v>
          </cell>
          <cell r="G6">
            <v>3783.9470000000001</v>
          </cell>
          <cell r="H6">
            <v>4181.3519999999999</v>
          </cell>
          <cell r="I6">
            <v>5001.7780000000002</v>
          </cell>
          <cell r="J6">
            <v>5815.7669999999998</v>
          </cell>
          <cell r="K6">
            <v>6116.8329999999996</v>
          </cell>
          <cell r="L6">
            <v>5553.5460000000003</v>
          </cell>
          <cell r="M6">
            <v>5310.01</v>
          </cell>
          <cell r="N6">
            <v>4642.4549999999999</v>
          </cell>
          <cell r="O6">
            <v>5222.4079999999994</v>
          </cell>
          <cell r="P6">
            <v>5646.6469999999999</v>
          </cell>
          <cell r="Q6">
            <v>5660.9560000000001</v>
          </cell>
          <cell r="R6">
            <v>5999.3230000000003</v>
          </cell>
          <cell r="S6">
            <v>5797.9890000000005</v>
          </cell>
          <cell r="T6">
            <v>4406.8250000000007</v>
          </cell>
        </row>
        <row r="7">
          <cell r="F7">
            <v>3021.136</v>
          </cell>
          <cell r="G7">
            <v>3383.7839999999997</v>
          </cell>
          <cell r="H7">
            <v>3668.482</v>
          </cell>
          <cell r="I7">
            <v>4111.0010000000002</v>
          </cell>
          <cell r="J7">
            <v>4640.1109999999999</v>
          </cell>
          <cell r="K7">
            <v>5055.8459999999995</v>
          </cell>
          <cell r="L7">
            <v>5025.1459999999988</v>
          </cell>
          <cell r="M7">
            <v>5073.023000000001</v>
          </cell>
          <cell r="N7">
            <v>5025.5249999999996</v>
          </cell>
          <cell r="O7">
            <v>5138.9110000000001</v>
          </cell>
          <cell r="P7">
            <v>5444.3919999999998</v>
          </cell>
          <cell r="Q7">
            <v>5890.2730000000001</v>
          </cell>
          <cell r="R7">
            <v>6104.2849999999999</v>
          </cell>
          <cell r="S7">
            <v>6223.5729999999994</v>
          </cell>
          <cell r="T7">
            <v>5536.0389999999998</v>
          </cell>
        </row>
        <row r="8">
          <cell r="F8">
            <v>11666.315999999999</v>
          </cell>
          <cell r="G8">
            <v>12195.281999999999</v>
          </cell>
          <cell r="H8">
            <v>12550.566000000003</v>
          </cell>
          <cell r="I8">
            <v>13634.148999999999</v>
          </cell>
          <cell r="J8">
            <v>14305.609</v>
          </cell>
          <cell r="K8">
            <v>14861.382999999998</v>
          </cell>
          <cell r="L8">
            <v>16034.896000000001</v>
          </cell>
          <cell r="M8">
            <v>16538.047000000002</v>
          </cell>
          <cell r="N8">
            <v>17130.356</v>
          </cell>
          <cell r="O8">
            <v>17652.030999999999</v>
          </cell>
          <cell r="P8">
            <v>17753.790000000005</v>
          </cell>
          <cell r="Q8">
            <v>18607.213</v>
          </cell>
          <cell r="R8">
            <v>19489.021999999997</v>
          </cell>
          <cell r="S8">
            <v>20598.786</v>
          </cell>
          <cell r="T8">
            <v>20134.308999999997</v>
          </cell>
        </row>
        <row r="9">
          <cell r="F9">
            <v>40038.733999999989</v>
          </cell>
          <cell r="G9">
            <v>42323.769999999975</v>
          </cell>
          <cell r="H9">
            <v>45554.196000000004</v>
          </cell>
          <cell r="I9">
            <v>48526.662000000011</v>
          </cell>
          <cell r="J9">
            <v>51988.990999999995</v>
          </cell>
          <cell r="K9">
            <v>56711.235000000001</v>
          </cell>
          <cell r="L9">
            <v>60208.14</v>
          </cell>
          <cell r="M9">
            <v>63950.731000000029</v>
          </cell>
          <cell r="N9">
            <v>66797.958000000013</v>
          </cell>
          <cell r="O9">
            <v>70312.175999999978</v>
          </cell>
          <cell r="P9">
            <v>74545.739999999976</v>
          </cell>
          <cell r="Q9">
            <v>78659.537000000011</v>
          </cell>
          <cell r="R9">
            <v>83925.798000000024</v>
          </cell>
          <cell r="S9">
            <v>87503.944000000018</v>
          </cell>
          <cell r="T9">
            <v>84696.164999999994</v>
          </cell>
        </row>
      </sheetData>
      <sheetData sheetId="15"/>
      <sheetData sheetId="16"/>
      <sheetData sheetId="1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adMe"/>
      <sheetName val="COICOP_18"/>
      <sheetName val="Dados QREs"/>
      <sheetName val="P38"/>
      <sheetName val="Apuramentos"/>
      <sheetName val="Apoio_PPC"/>
      <sheetName val="revisoes_PPC"/>
      <sheetName val="Valida"/>
      <sheetName val="COICOP_2"/>
    </sheetNames>
    <sheetDataSet>
      <sheetData sheetId="0"/>
      <sheetData sheetId="1"/>
      <sheetData sheetId="2"/>
      <sheetData sheetId="3"/>
      <sheetData sheetId="4">
        <row r="5">
          <cell r="J5">
            <v>6330393</v>
          </cell>
        </row>
        <row r="6">
          <cell r="J6">
            <v>7907429</v>
          </cell>
        </row>
        <row r="7">
          <cell r="J7">
            <v>32038812</v>
          </cell>
        </row>
        <row r="8">
          <cell r="J8">
            <v>120981869</v>
          </cell>
        </row>
        <row r="34">
          <cell r="H34" t="str">
            <v>011</v>
          </cell>
          <cell r="I34">
            <v>24355.989000000001</v>
          </cell>
          <cell r="J34">
            <v>24747.261999999999</v>
          </cell>
          <cell r="K34">
            <v>28187.561000000002</v>
          </cell>
        </row>
        <row r="35">
          <cell r="H35" t="str">
            <v>012</v>
          </cell>
          <cell r="I35">
            <v>1430.982</v>
          </cell>
          <cell r="J35">
            <v>1529.61</v>
          </cell>
          <cell r="K35">
            <v>1630.655</v>
          </cell>
        </row>
        <row r="36">
          <cell r="H36" t="str">
            <v>013</v>
          </cell>
          <cell r="I36">
            <v>0</v>
          </cell>
          <cell r="J36">
            <v>0</v>
          </cell>
          <cell r="K36">
            <v>0</v>
          </cell>
        </row>
        <row r="37">
          <cell r="H37" t="str">
            <v>021</v>
          </cell>
          <cell r="I37">
            <v>1985.3869999999999</v>
          </cell>
          <cell r="J37">
            <v>2152.172</v>
          </cell>
          <cell r="K37">
            <v>2220.596</v>
          </cell>
        </row>
        <row r="38">
          <cell r="H38" t="str">
            <v>022</v>
          </cell>
          <cell r="I38">
            <v>0</v>
          </cell>
          <cell r="J38">
            <v>0</v>
          </cell>
          <cell r="K38">
            <v>0</v>
          </cell>
        </row>
        <row r="39">
          <cell r="H39" t="str">
            <v>023</v>
          </cell>
          <cell r="I39">
            <v>2501.4270000000001</v>
          </cell>
          <cell r="J39">
            <v>2628.9630000000002</v>
          </cell>
          <cell r="K39">
            <v>2674.3580000000002</v>
          </cell>
        </row>
        <row r="40">
          <cell r="H40" t="str">
            <v>024</v>
          </cell>
          <cell r="I40">
            <v>199.63499999999999</v>
          </cell>
          <cell r="J40">
            <v>199.999</v>
          </cell>
          <cell r="K40">
            <v>136.739</v>
          </cell>
        </row>
        <row r="41">
          <cell r="H41" t="str">
            <v>031</v>
          </cell>
          <cell r="I41">
            <v>5973.2060000000001</v>
          </cell>
          <cell r="J41">
            <v>6703.4340000000002</v>
          </cell>
          <cell r="K41">
            <v>6989.5870000000004</v>
          </cell>
        </row>
        <row r="42">
          <cell r="H42" t="str">
            <v>032</v>
          </cell>
          <cell r="I42">
            <v>1732.48</v>
          </cell>
          <cell r="J42">
            <v>1910.52</v>
          </cell>
          <cell r="K42">
            <v>2001.4280000000001</v>
          </cell>
        </row>
        <row r="43">
          <cell r="H43" t="str">
            <v>041</v>
          </cell>
          <cell r="I43">
            <v>5632.9830000000002</v>
          </cell>
          <cell r="J43">
            <v>5655.1840000000002</v>
          </cell>
          <cell r="K43">
            <v>5807.0559999999996</v>
          </cell>
        </row>
        <row r="44">
          <cell r="H44" t="str">
            <v>042</v>
          </cell>
          <cell r="I44">
            <v>15126.832</v>
          </cell>
          <cell r="J44">
            <v>15217.366</v>
          </cell>
          <cell r="K44">
            <v>15626.021000000001</v>
          </cell>
        </row>
        <row r="45">
          <cell r="H45" t="str">
            <v>043</v>
          </cell>
          <cell r="I45">
            <v>238.96100000000001</v>
          </cell>
          <cell r="J45">
            <v>246.44800000000001</v>
          </cell>
          <cell r="K45">
            <v>265.596</v>
          </cell>
        </row>
        <row r="46">
          <cell r="H46" t="str">
            <v>044</v>
          </cell>
          <cell r="I46">
            <v>1408.4269999999999</v>
          </cell>
          <cell r="J46">
            <v>1391.163</v>
          </cell>
          <cell r="K46">
            <v>1425.127</v>
          </cell>
        </row>
        <row r="47">
          <cell r="H47" t="str">
            <v>045</v>
          </cell>
          <cell r="I47">
            <v>4171.79</v>
          </cell>
          <cell r="J47">
            <v>4090.1469999999999</v>
          </cell>
          <cell r="K47">
            <v>4948.1570000000002</v>
          </cell>
        </row>
        <row r="48">
          <cell r="H48" t="str">
            <v>051</v>
          </cell>
          <cell r="I48">
            <v>2101.0770000000002</v>
          </cell>
          <cell r="J48">
            <v>2173.0250000000001</v>
          </cell>
          <cell r="K48">
            <v>2496.1570000000002</v>
          </cell>
        </row>
        <row r="49">
          <cell r="H49" t="str">
            <v>052</v>
          </cell>
          <cell r="I49">
            <v>673.54700000000003</v>
          </cell>
          <cell r="J49">
            <v>689.21100000000001</v>
          </cell>
          <cell r="K49">
            <v>730.07899999999995</v>
          </cell>
        </row>
        <row r="50">
          <cell r="H50" t="str">
            <v>053</v>
          </cell>
          <cell r="I50">
            <v>1505.231</v>
          </cell>
          <cell r="J50">
            <v>1471.3420000000001</v>
          </cell>
          <cell r="K50">
            <v>1544.98</v>
          </cell>
        </row>
        <row r="51">
          <cell r="H51" t="str">
            <v>054</v>
          </cell>
          <cell r="I51">
            <v>434.96600000000001</v>
          </cell>
          <cell r="J51">
            <v>471.39600000000002</v>
          </cell>
          <cell r="K51">
            <v>501.226</v>
          </cell>
        </row>
        <row r="52">
          <cell r="H52" t="str">
            <v>055</v>
          </cell>
          <cell r="I52">
            <v>175.97800000000001</v>
          </cell>
          <cell r="J52">
            <v>190.28700000000001</v>
          </cell>
          <cell r="K52">
            <v>197.346</v>
          </cell>
        </row>
        <row r="53">
          <cell r="H53" t="str">
            <v>056</v>
          </cell>
          <cell r="I53">
            <v>2267.4070000000002</v>
          </cell>
          <cell r="J53">
            <v>2448.7930000000001</v>
          </cell>
          <cell r="K53">
            <v>2626.7559999999999</v>
          </cell>
        </row>
        <row r="54">
          <cell r="H54" t="str">
            <v>061</v>
          </cell>
          <cell r="I54">
            <v>2529.5300000000002</v>
          </cell>
          <cell r="J54">
            <v>2775.25</v>
          </cell>
          <cell r="K54">
            <v>2833.9659999999999</v>
          </cell>
        </row>
        <row r="55">
          <cell r="H55" t="str">
            <v>062</v>
          </cell>
          <cell r="I55">
            <v>5391.1329999999998</v>
          </cell>
          <cell r="J55">
            <v>5858.1610000000001</v>
          </cell>
          <cell r="K55">
            <v>5708.0929999999998</v>
          </cell>
        </row>
        <row r="56">
          <cell r="H56" t="str">
            <v>063</v>
          </cell>
          <cell r="I56">
            <v>568.59300000000007</v>
          </cell>
          <cell r="J56">
            <v>616.29199999999992</v>
          </cell>
          <cell r="K56">
            <v>601.20299999999997</v>
          </cell>
        </row>
        <row r="57">
          <cell r="H57" t="str">
            <v>064</v>
          </cell>
          <cell r="I57">
            <v>289.37200000000001</v>
          </cell>
          <cell r="J57">
            <v>313.16199999999998</v>
          </cell>
          <cell r="K57">
            <v>305.47699999999998</v>
          </cell>
        </row>
        <row r="58">
          <cell r="H58" t="str">
            <v>071</v>
          </cell>
          <cell r="I58">
            <v>5580.3040000000001</v>
          </cell>
          <cell r="J58">
            <v>6653.4520000000002</v>
          </cell>
          <cell r="K58">
            <v>7082.7359999999999</v>
          </cell>
        </row>
        <row r="59">
          <cell r="H59" t="str">
            <v>072</v>
          </cell>
          <cell r="I59">
            <v>9596.02</v>
          </cell>
          <cell r="J59">
            <v>10106.583000000001</v>
          </cell>
          <cell r="K59">
            <v>11590.617</v>
          </cell>
        </row>
        <row r="60">
          <cell r="H60" t="str">
            <v>073</v>
          </cell>
          <cell r="I60">
            <v>1758.1510000000001</v>
          </cell>
          <cell r="J60">
            <v>2788.0509999999999</v>
          </cell>
          <cell r="K60">
            <v>3077.2779999999998</v>
          </cell>
        </row>
        <row r="61">
          <cell r="H61" t="str">
            <v>074</v>
          </cell>
          <cell r="I61">
            <v>174.959</v>
          </cell>
          <cell r="J61">
            <v>167.517</v>
          </cell>
          <cell r="K61">
            <v>176.57</v>
          </cell>
        </row>
        <row r="62">
          <cell r="H62" t="str">
            <v>081</v>
          </cell>
          <cell r="I62">
            <v>961.21799999999996</v>
          </cell>
          <cell r="J62">
            <v>985.91300000000001</v>
          </cell>
          <cell r="K62">
            <v>1001.523</v>
          </cell>
        </row>
        <row r="63">
          <cell r="H63" t="str">
            <v>082</v>
          </cell>
          <cell r="I63">
            <v>12.526999999999999</v>
          </cell>
          <cell r="J63">
            <v>14.675000000000001</v>
          </cell>
          <cell r="K63">
            <v>14.678000000000001</v>
          </cell>
        </row>
        <row r="64">
          <cell r="H64" t="str">
            <v>083</v>
          </cell>
          <cell r="I64">
            <v>3341.7579999999998</v>
          </cell>
          <cell r="J64">
            <v>3294.8420000000001</v>
          </cell>
          <cell r="K64">
            <v>3348.864</v>
          </cell>
        </row>
        <row r="65">
          <cell r="H65" t="str">
            <v>091</v>
          </cell>
          <cell r="I65">
            <v>235.60400000000001</v>
          </cell>
          <cell r="J65">
            <v>280.45299999999997</v>
          </cell>
          <cell r="K65">
            <v>288.96499999999997</v>
          </cell>
        </row>
        <row r="66">
          <cell r="H66" t="str">
            <v>092</v>
          </cell>
          <cell r="I66">
            <v>739.82899999999995</v>
          </cell>
          <cell r="J66">
            <v>789.93700000000001</v>
          </cell>
          <cell r="K66">
            <v>836.35500000000002</v>
          </cell>
        </row>
        <row r="67">
          <cell r="H67" t="str">
            <v>093</v>
          </cell>
          <cell r="I67">
            <v>870.50599999999997</v>
          </cell>
          <cell r="J67">
            <v>896.33199999999999</v>
          </cell>
          <cell r="K67">
            <v>991.67100000000005</v>
          </cell>
        </row>
        <row r="68">
          <cell r="H68" t="str">
            <v>094</v>
          </cell>
          <cell r="I68">
            <v>2918.7640000000001</v>
          </cell>
          <cell r="J68">
            <v>3433.9050000000002</v>
          </cell>
          <cell r="K68">
            <v>3554.6010000000001</v>
          </cell>
        </row>
        <row r="69">
          <cell r="H69" t="str">
            <v>095</v>
          </cell>
          <cell r="I69">
            <v>77.040999999999997</v>
          </cell>
          <cell r="J69">
            <v>84.787000000000006</v>
          </cell>
          <cell r="K69">
            <v>98.866</v>
          </cell>
        </row>
        <row r="70">
          <cell r="H70" t="str">
            <v>096</v>
          </cell>
          <cell r="I70">
            <v>201.83799999999999</v>
          </cell>
          <cell r="J70">
            <v>416.82</v>
          </cell>
          <cell r="K70">
            <v>424.15</v>
          </cell>
        </row>
        <row r="71">
          <cell r="H71" t="str">
            <v>097</v>
          </cell>
          <cell r="I71">
            <v>910.755</v>
          </cell>
          <cell r="J71">
            <v>917.654</v>
          </cell>
          <cell r="K71">
            <v>969.84</v>
          </cell>
        </row>
        <row r="72">
          <cell r="H72" t="str">
            <v>098</v>
          </cell>
          <cell r="I72">
            <v>296.096</v>
          </cell>
          <cell r="J72">
            <v>485.15300000000002</v>
          </cell>
          <cell r="K72">
            <v>595.75099999999998</v>
          </cell>
        </row>
        <row r="73">
          <cell r="H73" t="str">
            <v>101</v>
          </cell>
          <cell r="I73">
            <v>468.47199999999998</v>
          </cell>
          <cell r="J73">
            <v>524.71799999999996</v>
          </cell>
          <cell r="K73">
            <v>531.63</v>
          </cell>
        </row>
        <row r="74">
          <cell r="H74" t="str">
            <v>102</v>
          </cell>
          <cell r="I74">
            <v>314.13299999999998</v>
          </cell>
          <cell r="J74">
            <v>355.53100000000001</v>
          </cell>
          <cell r="K74">
            <v>362.43799999999999</v>
          </cell>
        </row>
        <row r="75">
          <cell r="H75" t="str">
            <v>103</v>
          </cell>
          <cell r="I75">
            <v>26.817</v>
          </cell>
          <cell r="J75">
            <v>30.951000000000001</v>
          </cell>
          <cell r="K75">
            <v>32.305</v>
          </cell>
        </row>
        <row r="76">
          <cell r="H76" t="str">
            <v>104</v>
          </cell>
          <cell r="I76">
            <v>406.78700000000003</v>
          </cell>
          <cell r="J76">
            <v>465.92999999999995</v>
          </cell>
          <cell r="K76">
            <v>470.78200000000004</v>
          </cell>
        </row>
        <row r="77">
          <cell r="H77" t="str">
            <v>105</v>
          </cell>
          <cell r="I77">
            <v>587.13199999999995</v>
          </cell>
          <cell r="J77">
            <v>677.52800000000002</v>
          </cell>
          <cell r="K77">
            <v>707</v>
          </cell>
        </row>
        <row r="78">
          <cell r="H78" t="str">
            <v>111</v>
          </cell>
          <cell r="I78">
            <v>10847.681</v>
          </cell>
          <cell r="J78">
            <v>14790.429</v>
          </cell>
          <cell r="K78">
            <v>15800.498</v>
          </cell>
        </row>
        <row r="79">
          <cell r="H79" t="str">
            <v>112</v>
          </cell>
          <cell r="I79">
            <v>4488.5770000000002</v>
          </cell>
          <cell r="J79">
            <v>7315.26</v>
          </cell>
          <cell r="K79">
            <v>8300.5720000000001</v>
          </cell>
        </row>
        <row r="80">
          <cell r="H80" t="str">
            <v>121</v>
          </cell>
          <cell r="I80">
            <v>2975.5859999999998</v>
          </cell>
          <cell r="J80">
            <v>3277.3339999999998</v>
          </cell>
          <cell r="K80">
            <v>3411.913</v>
          </cell>
        </row>
        <row r="81">
          <cell r="H81" t="str">
            <v>122</v>
          </cell>
          <cell r="I81">
            <v>3156.386</v>
          </cell>
          <cell r="J81">
            <v>3058.0590000000002</v>
          </cell>
          <cell r="K81">
            <v>3607.672</v>
          </cell>
        </row>
        <row r="82">
          <cell r="H82" t="str">
            <v>131</v>
          </cell>
          <cell r="I82">
            <v>2949.77</v>
          </cell>
          <cell r="J82">
            <v>3336.2730000000001</v>
          </cell>
          <cell r="K82">
            <v>3477.8989999999999</v>
          </cell>
        </row>
        <row r="83">
          <cell r="H83" t="str">
            <v>132</v>
          </cell>
          <cell r="I83">
            <v>1102.921</v>
          </cell>
          <cell r="J83">
            <v>1560.4939999999999</v>
          </cell>
          <cell r="K83">
            <v>1632.7739999999999</v>
          </cell>
        </row>
        <row r="84">
          <cell r="H84" t="str">
            <v>133</v>
          </cell>
          <cell r="I84">
            <v>2341.4749999999999</v>
          </cell>
          <cell r="J84">
            <v>2503.0279999999998</v>
          </cell>
          <cell r="K84">
            <v>2572.9290000000001</v>
          </cell>
        </row>
        <row r="85">
          <cell r="H85" t="str">
            <v>139</v>
          </cell>
          <cell r="I85">
            <v>2452.614</v>
          </cell>
          <cell r="J85">
            <v>2707.991</v>
          </cell>
          <cell r="K85">
            <v>2839.462</v>
          </cell>
        </row>
        <row r="86">
          <cell r="I86">
            <v>140488.65400000001</v>
          </cell>
          <cell r="J86">
            <v>155398.78700000001</v>
          </cell>
          <cell r="K86">
            <v>167258.503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22"/>
      <sheetName val="QRE22_agreg"/>
      <sheetName val="QRE431X80_BP"/>
      <sheetName val="QRE80X80_BP"/>
      <sheetName val="QRE_P38"/>
      <sheetName val="QRE_P21"/>
      <sheetName val="Sheet1"/>
      <sheetName val="QRE20"/>
      <sheetName val="QRE21"/>
      <sheetName val="QERU2022"/>
      <sheetName val="QRE20_agreg"/>
      <sheetName val="QRE21_agreg"/>
      <sheetName val="QRE22_PAA"/>
      <sheetName val="QRE22_21"/>
    </sheetNames>
    <sheetDataSet>
      <sheetData sheetId="0"/>
      <sheetData sheetId="1">
        <row r="446">
          <cell r="ES446">
            <v>-20227813</v>
          </cell>
        </row>
        <row r="447">
          <cell r="ES447">
            <v>4286822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23"/>
      <sheetName val="QRE23_agreg"/>
      <sheetName val="QRE431X80_BP"/>
      <sheetName val="QRE80X80_BP"/>
      <sheetName val="QRE_P38"/>
      <sheetName val="QRE_P21"/>
      <sheetName val="Sheet1"/>
      <sheetName val="QERU2023"/>
      <sheetName val="QRE21"/>
    </sheetNames>
    <sheetDataSet>
      <sheetData sheetId="0"/>
      <sheetData sheetId="1">
        <row r="446">
          <cell r="ES446">
            <v>-24306333</v>
          </cell>
        </row>
        <row r="447">
          <cell r="ES447">
            <v>4963142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adMe"/>
      <sheetName val="COICOP_18"/>
      <sheetName val="Apuramentos"/>
      <sheetName val="Valida"/>
      <sheetName val="Apoio_PPC"/>
      <sheetName val="Estrutura_extraIDF"/>
      <sheetName val="Apoio_PPC_20250114"/>
      <sheetName val="COICOP_18_20250114"/>
      <sheetName val="COICOP_18_compara"/>
      <sheetName val="Apoio_PPC_analise"/>
      <sheetName val="Apoio_PPC_calculos"/>
    </sheetNames>
    <sheetDataSet>
      <sheetData sheetId="0"/>
      <sheetData sheetId="1"/>
      <sheetData sheetId="2">
        <row r="5">
          <cell r="J5">
            <v>5014661</v>
          </cell>
        </row>
        <row r="6">
          <cell r="J6">
            <v>6764446</v>
          </cell>
        </row>
        <row r="7">
          <cell r="J7">
            <v>27772358</v>
          </cell>
        </row>
        <row r="8">
          <cell r="J8">
            <v>100937189</v>
          </cell>
        </row>
        <row r="37">
          <cell r="D37" t="str">
            <v>011</v>
          </cell>
          <cell r="G37">
            <v>31443.882000000001</v>
          </cell>
        </row>
        <row r="38">
          <cell r="D38" t="str">
            <v>012</v>
          </cell>
          <cell r="G38">
            <v>1905.5820000000001</v>
          </cell>
        </row>
        <row r="39">
          <cell r="D39" t="str">
            <v>013</v>
          </cell>
          <cell r="G39">
            <v>0</v>
          </cell>
        </row>
        <row r="40">
          <cell r="D40" t="str">
            <v>021</v>
          </cell>
          <cell r="G40">
            <v>2407.8910000000001</v>
          </cell>
        </row>
        <row r="41">
          <cell r="D41" t="str">
            <v>022</v>
          </cell>
          <cell r="G41">
            <v>0</v>
          </cell>
        </row>
        <row r="42">
          <cell r="D42" t="str">
            <v>023</v>
          </cell>
          <cell r="G42">
            <v>2804.0120000000002</v>
          </cell>
        </row>
        <row r="43">
          <cell r="D43" t="str">
            <v>024</v>
          </cell>
          <cell r="G43">
            <v>91.292000000000002</v>
          </cell>
        </row>
        <row r="44">
          <cell r="D44" t="str">
            <v>031</v>
          </cell>
          <cell r="G44">
            <v>7550.0280000000002</v>
          </cell>
        </row>
        <row r="45">
          <cell r="D45" t="str">
            <v>032</v>
          </cell>
          <cell r="G45">
            <v>1974.8140000000001</v>
          </cell>
        </row>
        <row r="46">
          <cell r="D46" t="str">
            <v>041</v>
          </cell>
          <cell r="G46">
            <v>6094.66</v>
          </cell>
        </row>
        <row r="47">
          <cell r="D47" t="str">
            <v>042</v>
          </cell>
          <cell r="G47">
            <v>16446.738000000001</v>
          </cell>
        </row>
        <row r="48">
          <cell r="D48" t="str">
            <v>043</v>
          </cell>
          <cell r="G48">
            <v>257.43900000000002</v>
          </cell>
        </row>
        <row r="49">
          <cell r="D49" t="str">
            <v>044</v>
          </cell>
          <cell r="G49">
            <v>1523.0830000000001</v>
          </cell>
        </row>
        <row r="50">
          <cell r="D50" t="str">
            <v>045</v>
          </cell>
          <cell r="G50">
            <v>4485.7659999999996</v>
          </cell>
        </row>
        <row r="51">
          <cell r="D51" t="str">
            <v>051</v>
          </cell>
          <cell r="G51">
            <v>2571.8319999999999</v>
          </cell>
        </row>
        <row r="52">
          <cell r="D52" t="str">
            <v>052</v>
          </cell>
          <cell r="G52">
            <v>754.73699999999997</v>
          </cell>
        </row>
        <row r="53">
          <cell r="D53" t="str">
            <v>053</v>
          </cell>
          <cell r="G53">
            <v>1551.1020000000001</v>
          </cell>
        </row>
        <row r="54">
          <cell r="D54" t="str">
            <v>054</v>
          </cell>
          <cell r="G54">
            <v>546.64099999999996</v>
          </cell>
        </row>
        <row r="55">
          <cell r="D55" t="str">
            <v>055</v>
          </cell>
          <cell r="G55">
            <v>200.14099999999999</v>
          </cell>
        </row>
        <row r="56">
          <cell r="D56" t="str">
            <v>056</v>
          </cell>
          <cell r="G56">
            <v>2835.0219999999999</v>
          </cell>
        </row>
        <row r="57">
          <cell r="D57" t="str">
            <v>061</v>
          </cell>
          <cell r="G57">
            <v>2835.5839999999998</v>
          </cell>
        </row>
        <row r="58">
          <cell r="D58" t="str">
            <v>062</v>
          </cell>
          <cell r="G58">
            <v>6044.9719999999998</v>
          </cell>
        </row>
        <row r="59">
          <cell r="D59" t="str">
            <v>063</v>
          </cell>
          <cell r="G59">
            <v>675.86</v>
          </cell>
        </row>
        <row r="60">
          <cell r="D60" t="str">
            <v>064</v>
          </cell>
          <cell r="G60">
            <v>345.25</v>
          </cell>
        </row>
        <row r="61">
          <cell r="D61" t="str">
            <v>071</v>
          </cell>
          <cell r="G61">
            <v>8329.3310000000001</v>
          </cell>
        </row>
        <row r="62">
          <cell r="D62" t="str">
            <v>072</v>
          </cell>
          <cell r="G62">
            <v>11945.486000000001</v>
          </cell>
        </row>
        <row r="63">
          <cell r="D63" t="str">
            <v>073</v>
          </cell>
          <cell r="G63">
            <v>3823.6370000000002</v>
          </cell>
        </row>
        <row r="64">
          <cell r="D64" t="str">
            <v>074</v>
          </cell>
          <cell r="G64">
            <v>182.41900000000001</v>
          </cell>
        </row>
        <row r="65">
          <cell r="D65" t="str">
            <v>081</v>
          </cell>
          <cell r="G65">
            <v>988.56600000000003</v>
          </cell>
        </row>
        <row r="66">
          <cell r="D66" t="str">
            <v>082</v>
          </cell>
          <cell r="G66">
            <v>16.638999999999999</v>
          </cell>
        </row>
        <row r="67">
          <cell r="D67" t="str">
            <v>083</v>
          </cell>
          <cell r="G67">
            <v>3528.1729999999998</v>
          </cell>
        </row>
        <row r="68">
          <cell r="D68" t="str">
            <v>091</v>
          </cell>
          <cell r="G68">
            <v>303.464</v>
          </cell>
        </row>
        <row r="69">
          <cell r="D69" t="str">
            <v>092</v>
          </cell>
          <cell r="G69">
            <v>819.60599999999999</v>
          </cell>
        </row>
        <row r="70">
          <cell r="D70" t="str">
            <v>093</v>
          </cell>
          <cell r="G70">
            <v>1153.2170000000001</v>
          </cell>
        </row>
        <row r="71">
          <cell r="D71" t="str">
            <v>094</v>
          </cell>
          <cell r="G71">
            <v>4167.5420000000004</v>
          </cell>
        </row>
        <row r="72">
          <cell r="D72" t="str">
            <v>095</v>
          </cell>
          <cell r="G72">
            <v>101.114</v>
          </cell>
        </row>
        <row r="73">
          <cell r="D73" t="str">
            <v>096</v>
          </cell>
          <cell r="G73">
            <v>492.53</v>
          </cell>
        </row>
        <row r="74">
          <cell r="D74" t="str">
            <v>097</v>
          </cell>
          <cell r="G74">
            <v>1002.833</v>
          </cell>
        </row>
        <row r="75">
          <cell r="D75" t="str">
            <v>098</v>
          </cell>
          <cell r="G75">
            <v>714.10799999999995</v>
          </cell>
        </row>
        <row r="76">
          <cell r="D76" t="str">
            <v>101</v>
          </cell>
          <cell r="G76">
            <v>631.56600000000003</v>
          </cell>
        </row>
        <row r="77">
          <cell r="D77" t="str">
            <v>102</v>
          </cell>
          <cell r="G77">
            <v>347.11599999999999</v>
          </cell>
        </row>
        <row r="78">
          <cell r="D78" t="str">
            <v>103</v>
          </cell>
          <cell r="G78">
            <v>35.886000000000003</v>
          </cell>
        </row>
        <row r="79">
          <cell r="D79" t="str">
            <v>104</v>
          </cell>
          <cell r="G79">
            <v>571.13800000000003</v>
          </cell>
        </row>
        <row r="80">
          <cell r="D80" t="str">
            <v>105</v>
          </cell>
          <cell r="G80">
            <v>784.37599999999998</v>
          </cell>
        </row>
        <row r="81">
          <cell r="D81" t="str">
            <v>111</v>
          </cell>
          <cell r="G81">
            <v>17633.685000000001</v>
          </cell>
        </row>
        <row r="82">
          <cell r="D82" t="str">
            <v>112</v>
          </cell>
          <cell r="G82">
            <v>9727.2119999999995</v>
          </cell>
        </row>
        <row r="83">
          <cell r="D83" t="str">
            <v>121</v>
          </cell>
          <cell r="G83">
            <v>3526.34</v>
          </cell>
        </row>
        <row r="84">
          <cell r="D84" t="str">
            <v>122</v>
          </cell>
          <cell r="G84">
            <v>4088.991</v>
          </cell>
        </row>
        <row r="85">
          <cell r="D85" t="str">
            <v>131</v>
          </cell>
          <cell r="G85">
            <v>3771.8919999999998</v>
          </cell>
        </row>
        <row r="86">
          <cell r="D86" t="str">
            <v>132</v>
          </cell>
          <cell r="G86">
            <v>1900.6790000000001</v>
          </cell>
        </row>
        <row r="87">
          <cell r="D87" t="str">
            <v>133</v>
          </cell>
          <cell r="G87">
            <v>2615.0740000000001</v>
          </cell>
        </row>
        <row r="88">
          <cell r="D88" t="str">
            <v>139</v>
          </cell>
          <cell r="G88">
            <v>3066.5659999999998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nual"/>
      <sheetName val="Volume"/>
      <sheetName val="Valor"/>
      <sheetName val="p.impl."/>
      <sheetName val="Anual_Eurostat"/>
      <sheetName val="Portal_COICOP"/>
      <sheetName val="Portal_Despesa"/>
    </sheetNames>
    <sheetDataSet>
      <sheetData sheetId="0"/>
      <sheetData sheetId="1"/>
      <sheetData sheetId="2"/>
      <sheetData sheetId="3"/>
      <sheetData sheetId="4"/>
      <sheetData sheetId="5">
        <row r="35">
          <cell r="B35">
            <v>171640.55630231171</v>
          </cell>
          <cell r="C35">
            <v>5323.8729999999996</v>
          </cell>
          <cell r="D35">
            <v>26479.18269768828</v>
          </cell>
          <cell r="E35">
            <v>192795.86600000001</v>
          </cell>
          <cell r="F35">
            <v>15795.601000000001</v>
          </cell>
          <cell r="G35">
            <v>177000.26500000001</v>
          </cell>
        </row>
      </sheetData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QRE06"/>
      <sheetName val="06_preços"/>
      <sheetName val="QRE06_05"/>
      <sheetName val="06_vol"/>
      <sheetName val="QRE05"/>
      <sheetName val="05_preços"/>
      <sheetName val="QRE05_04"/>
      <sheetName val="05_vol"/>
      <sheetName val="QRE04"/>
      <sheetName val="04_preços"/>
      <sheetName val="QRE04_03"/>
      <sheetName val="04_vol"/>
      <sheetName val="QRE03"/>
      <sheetName val="03_preços"/>
      <sheetName val="QRE03_02"/>
      <sheetName val="03_vol"/>
      <sheetName val="QRE02"/>
      <sheetName val="02_preços"/>
      <sheetName val="QRE02_01"/>
      <sheetName val="02_vol"/>
      <sheetName val="QRE01"/>
      <sheetName val="01_preços"/>
      <sheetName val="QRE01_00"/>
      <sheetName val="01_vol"/>
      <sheetName val="QRE00"/>
      <sheetName val="QRE_Retrop_00_06"/>
      <sheetName val="QRE04_05"/>
      <sheetName val="QRE07_06"/>
      <sheetName val="QRE01_01"/>
      <sheetName val="QRE07"/>
      <sheetName val="QRE95"/>
      <sheetName val="QRE00_99"/>
      <sheetName val="QRE00_01"/>
      <sheetName val="QRE05_06"/>
    </sheetNames>
    <sheetDataSet>
      <sheetData sheetId="0">
        <row r="43">
          <cell r="M43">
            <v>-6055127</v>
          </cell>
        </row>
        <row r="44">
          <cell r="M44">
            <v>1914884</v>
          </cell>
        </row>
      </sheetData>
      <sheetData sheetId="1"/>
      <sheetData sheetId="2"/>
      <sheetData sheetId="3"/>
      <sheetData sheetId="4">
        <row r="43">
          <cell r="M43">
            <v>-5625551</v>
          </cell>
        </row>
        <row r="44">
          <cell r="M44">
            <v>1798628</v>
          </cell>
        </row>
      </sheetData>
      <sheetData sheetId="5"/>
      <sheetData sheetId="6"/>
      <sheetData sheetId="7"/>
      <sheetData sheetId="8">
        <row r="43">
          <cell r="M43">
            <v>-5622710</v>
          </cell>
        </row>
        <row r="44">
          <cell r="M44">
            <v>1656690</v>
          </cell>
        </row>
      </sheetData>
      <sheetData sheetId="9"/>
      <sheetData sheetId="10"/>
      <sheetData sheetId="11"/>
      <sheetData sheetId="12">
        <row r="43">
          <cell r="M43">
            <v>-5308205</v>
          </cell>
        </row>
        <row r="44">
          <cell r="M44">
            <v>1610591</v>
          </cell>
        </row>
      </sheetData>
      <sheetData sheetId="13"/>
      <sheetData sheetId="14"/>
      <sheetData sheetId="15"/>
      <sheetData sheetId="16">
        <row r="43">
          <cell r="M43">
            <v>-5530458</v>
          </cell>
        </row>
        <row r="44">
          <cell r="M44">
            <v>1722557</v>
          </cell>
        </row>
      </sheetData>
      <sheetData sheetId="17"/>
      <sheetData sheetId="18"/>
      <sheetData sheetId="19"/>
      <sheetData sheetId="20">
        <row r="43">
          <cell r="M43">
            <v>-5558536</v>
          </cell>
        </row>
        <row r="44">
          <cell r="M44">
            <v>1836301</v>
          </cell>
        </row>
      </sheetData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QRE10OriginalValues"/>
      <sheetName val="QRE10"/>
      <sheetName val="QRE10_09"/>
      <sheetName val="QRE09"/>
      <sheetName val="QRE09_08"/>
      <sheetName val="QRE08"/>
      <sheetName val="QRE08_07"/>
      <sheetName val="QRE07"/>
      <sheetName val="QRE07_06"/>
      <sheetName val="QRE06"/>
      <sheetName val="QRE06_05"/>
      <sheetName val="QRE_Retrop_06_10"/>
      <sheetName val="QRE01_00"/>
    </sheetNames>
    <sheetDataSet>
      <sheetData sheetId="0"/>
      <sheetData sheetId="1"/>
      <sheetData sheetId="2"/>
      <sheetData sheetId="3">
        <row r="43">
          <cell r="M43">
            <v>-6266611</v>
          </cell>
        </row>
        <row r="44">
          <cell r="M44">
            <v>1925830</v>
          </cell>
        </row>
      </sheetData>
      <sheetData sheetId="4"/>
      <sheetData sheetId="5">
        <row r="43">
          <cell r="M43">
            <v>-6749200</v>
          </cell>
        </row>
        <row r="44">
          <cell r="M44">
            <v>2086668</v>
          </cell>
        </row>
      </sheetData>
      <sheetData sheetId="6"/>
      <sheetData sheetId="7">
        <row r="43">
          <cell r="M43">
            <v>-6735461</v>
          </cell>
        </row>
        <row r="44">
          <cell r="M44">
            <v>2019256</v>
          </cell>
        </row>
      </sheetData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0"/>
      <sheetName val="QRE10_agreg"/>
      <sheetName val="QRE431X80_BP"/>
      <sheetName val="QRE80X80_BP"/>
      <sheetName val="QRE_P38"/>
      <sheetName val="QRE_P21"/>
      <sheetName val="Sheet1"/>
      <sheetName val="QRE2010"/>
      <sheetName val="QRE10 (2)"/>
    </sheetNames>
    <sheetDataSet>
      <sheetData sheetId="0"/>
      <sheetData sheetId="1">
        <row r="446">
          <cell r="ES446">
            <v>-6895325</v>
          </cell>
        </row>
        <row r="447">
          <cell r="ES447">
            <v>2096639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Dados QREs_B16"/>
      <sheetName val="Dados QREs_B21"/>
      <sheetName val="Apura"/>
      <sheetName val="Apuramentos"/>
      <sheetName val="P38"/>
      <sheetName val="CP4"/>
      <sheetName val="valida"/>
      <sheetName val="055"/>
      <sheetName val="105"/>
      <sheetName val="COICOP18_2"/>
      <sheetName val="COICOP_18"/>
      <sheetName val="Apura_COICOP18"/>
      <sheetName val="CP4_COICOP18"/>
      <sheetName val="valida_COICOP18"/>
    </sheetNames>
    <sheetDataSet>
      <sheetData sheetId="0"/>
      <sheetData sheetId="1"/>
      <sheetData sheetId="2"/>
      <sheetData sheetId="3">
        <row r="15">
          <cell r="B15">
            <v>5629640</v>
          </cell>
          <cell r="D15">
            <v>4330829</v>
          </cell>
          <cell r="F15">
            <v>2821381</v>
          </cell>
          <cell r="H15">
            <v>2963851</v>
          </cell>
          <cell r="J15">
            <v>3946166</v>
          </cell>
          <cell r="L15">
            <v>4864605</v>
          </cell>
        </row>
        <row r="16">
          <cell r="B16">
            <v>5639496</v>
          </cell>
          <cell r="D16">
            <v>5099308</v>
          </cell>
          <cell r="F16">
            <v>4429371</v>
          </cell>
          <cell r="H16">
            <v>4346375</v>
          </cell>
          <cell r="J16">
            <v>4630577</v>
          </cell>
          <cell r="L16">
            <v>5034746</v>
          </cell>
        </row>
        <row r="17">
          <cell r="B17">
            <v>20505811</v>
          </cell>
          <cell r="D17">
            <v>20843224</v>
          </cell>
          <cell r="F17">
            <v>21262397</v>
          </cell>
          <cell r="H17">
            <v>21902971</v>
          </cell>
          <cell r="J17">
            <v>22036388</v>
          </cell>
          <cell r="L17">
            <v>22719996</v>
          </cell>
        </row>
        <row r="18">
          <cell r="B18">
            <v>88212851</v>
          </cell>
          <cell r="D18">
            <v>87737290</v>
          </cell>
          <cell r="F18">
            <v>85679878</v>
          </cell>
          <cell r="H18">
            <v>85165679</v>
          </cell>
          <cell r="J18">
            <v>87456461</v>
          </cell>
          <cell r="L18">
            <v>89306314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62">
          <cell r="C62" t="str">
            <v>011</v>
          </cell>
          <cell r="D62" t="str">
            <v>PRODUTOS ALIMENTARES</v>
          </cell>
          <cell r="E62" t="str">
            <v>011</v>
          </cell>
          <cell r="F62">
            <v>17945.227999999999</v>
          </cell>
          <cell r="G62">
            <v>17882.647000000001</v>
          </cell>
          <cell r="H62">
            <v>18251.510999999999</v>
          </cell>
          <cell r="I62">
            <v>18117.401000000002</v>
          </cell>
          <cell r="J62">
            <v>18616.91</v>
          </cell>
          <cell r="K62">
            <v>18865.964</v>
          </cell>
          <cell r="L62">
            <v>19246.755000000001</v>
          </cell>
          <cell r="M62">
            <v>19570.563999999998</v>
          </cell>
          <cell r="N62">
            <v>19318.05</v>
          </cell>
          <cell r="O62">
            <v>19552.506000000001</v>
          </cell>
          <cell r="P62">
            <v>19821.633999999998</v>
          </cell>
        </row>
        <row r="63">
          <cell r="C63" t="str">
            <v>012</v>
          </cell>
          <cell r="D63" t="str">
            <v>BEBIDAS NÃO ALCOÓLICAS</v>
          </cell>
          <cell r="E63" t="str">
            <v>012</v>
          </cell>
          <cell r="F63">
            <v>1134.4929999999999</v>
          </cell>
          <cell r="G63">
            <v>1154.6010000000001</v>
          </cell>
          <cell r="H63">
            <v>1172.558</v>
          </cell>
          <cell r="I63">
            <v>1088.8050000000001</v>
          </cell>
          <cell r="J63">
            <v>1195.3800000000001</v>
          </cell>
          <cell r="K63">
            <v>1165.442</v>
          </cell>
          <cell r="L63">
            <v>1150.4829999999999</v>
          </cell>
          <cell r="M63">
            <v>1137.0319999999999</v>
          </cell>
          <cell r="N63">
            <v>1118.8720000000001</v>
          </cell>
          <cell r="O63">
            <v>1160.3420000000001</v>
          </cell>
          <cell r="P63">
            <v>1169.646</v>
          </cell>
        </row>
        <row r="64">
          <cell r="C64" t="str">
            <v>013</v>
          </cell>
          <cell r="D64" t="str">
            <v>SERVIÇOS PARA TRANSFORMAÇÃO DE BENS PRIMÁRIOS PARA PRODUTOS ALIMENTARES e BEBIDAS NÃO ALCOÓLICAS</v>
          </cell>
          <cell r="E64">
            <v>0</v>
          </cell>
          <cell r="F64"/>
          <cell r="G64"/>
          <cell r="H64"/>
          <cell r="I64"/>
          <cell r="J64"/>
          <cell r="K64"/>
          <cell r="L64"/>
          <cell r="M64"/>
          <cell r="N64"/>
          <cell r="O64"/>
          <cell r="P64"/>
        </row>
        <row r="65">
          <cell r="C65" t="str">
            <v>021</v>
          </cell>
          <cell r="D65" t="str">
            <v>BEBIDAS ALCOÓLICAS</v>
          </cell>
          <cell r="E65" t="str">
            <v>021</v>
          </cell>
          <cell r="F65">
            <v>1426.09</v>
          </cell>
          <cell r="G65">
            <v>1403.2460000000001</v>
          </cell>
          <cell r="H65">
            <v>1419.155</v>
          </cell>
          <cell r="I65">
            <v>1420.242</v>
          </cell>
          <cell r="J65">
            <v>1450.107</v>
          </cell>
          <cell r="K65">
            <v>1476.28</v>
          </cell>
          <cell r="L65">
            <v>1505.7329999999999</v>
          </cell>
          <cell r="M65">
            <v>1603.3030000000001</v>
          </cell>
          <cell r="N65">
            <v>1599.4659999999999</v>
          </cell>
          <cell r="O65">
            <v>1715.644</v>
          </cell>
          <cell r="P65">
            <v>1728.7159999999999</v>
          </cell>
        </row>
        <row r="66">
          <cell r="C66" t="str">
            <v>022</v>
          </cell>
          <cell r="D66" t="str">
            <v>SERVIÇOS DE PRODUÇÃO DE ÁLCOOL</v>
          </cell>
          <cell r="E66">
            <v>0</v>
          </cell>
          <cell r="F66"/>
          <cell r="G66"/>
          <cell r="H66"/>
          <cell r="I66"/>
          <cell r="J66"/>
          <cell r="K66"/>
          <cell r="L66"/>
          <cell r="M66"/>
          <cell r="N66"/>
          <cell r="O66"/>
          <cell r="P66"/>
        </row>
        <row r="67">
          <cell r="C67" t="str">
            <v>023</v>
          </cell>
          <cell r="D67" t="str">
            <v>TABACO</v>
          </cell>
          <cell r="E67" t="str">
            <v>022</v>
          </cell>
          <cell r="F67">
            <v>2288.049</v>
          </cell>
          <cell r="G67">
            <v>2150.2460000000001</v>
          </cell>
          <cell r="H67">
            <v>2362.86</v>
          </cell>
          <cell r="I67">
            <v>2059.5749999999998</v>
          </cell>
          <cell r="J67">
            <v>2170.4630000000002</v>
          </cell>
          <cell r="K67">
            <v>1993.396</v>
          </cell>
          <cell r="L67">
            <v>2057.3229999999999</v>
          </cell>
          <cell r="M67">
            <v>1944.355</v>
          </cell>
          <cell r="N67">
            <v>2029.963</v>
          </cell>
          <cell r="O67">
            <v>1814.029</v>
          </cell>
          <cell r="P67">
            <v>1923.7940000000001</v>
          </cell>
        </row>
        <row r="68">
          <cell r="C68" t="str">
            <v>024</v>
          </cell>
          <cell r="D68" t="str">
            <v>NARCÓTICOS</v>
          </cell>
          <cell r="E68" t="str">
            <v>023</v>
          </cell>
          <cell r="F68">
            <v>146.69300000000001</v>
          </cell>
          <cell r="G68">
            <v>133.083</v>
          </cell>
          <cell r="H68">
            <v>132.99299999999999</v>
          </cell>
          <cell r="I68">
            <v>134.489</v>
          </cell>
          <cell r="J68">
            <v>121.83199999999999</v>
          </cell>
          <cell r="K68">
            <v>119.07899999999999</v>
          </cell>
          <cell r="L68">
            <v>110.086</v>
          </cell>
          <cell r="M68">
            <v>107.944</v>
          </cell>
          <cell r="N68">
            <v>129.905</v>
          </cell>
          <cell r="O68">
            <v>128.32</v>
          </cell>
          <cell r="P68">
            <v>112.64</v>
          </cell>
        </row>
        <row r="69">
          <cell r="C69" t="str">
            <v>031</v>
          </cell>
          <cell r="D69" t="str">
            <v>VESTUÁRIO</v>
          </cell>
          <cell r="E69" t="str">
            <v>031</v>
          </cell>
          <cell r="F69">
            <v>5537.8760000000002</v>
          </cell>
          <cell r="G69">
            <v>5434.9449999999997</v>
          </cell>
          <cell r="H69">
            <v>5223.7120000000004</v>
          </cell>
          <cell r="I69">
            <v>5017.0219999999999</v>
          </cell>
          <cell r="J69">
            <v>4767.74</v>
          </cell>
          <cell r="K69">
            <v>5125.9309999999996</v>
          </cell>
          <cell r="L69">
            <v>4951.5659999999998</v>
          </cell>
          <cell r="M69">
            <v>5537.0410000000002</v>
          </cell>
          <cell r="N69">
            <v>5432.8519999999999</v>
          </cell>
          <cell r="O69">
            <v>6025.4260000000004</v>
          </cell>
          <cell r="P69">
            <v>5913.99</v>
          </cell>
        </row>
        <row r="70">
          <cell r="C70" t="str">
            <v>032</v>
          </cell>
          <cell r="D70" t="str">
            <v>CALÇADO</v>
          </cell>
          <cell r="E70" t="str">
            <v>032</v>
          </cell>
          <cell r="F70">
            <v>1771.992</v>
          </cell>
          <cell r="G70">
            <v>1798.4380000000001</v>
          </cell>
          <cell r="H70">
            <v>1749.0630000000001</v>
          </cell>
          <cell r="I70">
            <v>1732.0350000000001</v>
          </cell>
          <cell r="J70">
            <v>1669.3040000000001</v>
          </cell>
          <cell r="K70">
            <v>1761.7139999999999</v>
          </cell>
          <cell r="L70">
            <v>1735.2190000000001</v>
          </cell>
          <cell r="M70">
            <v>1983.31</v>
          </cell>
          <cell r="N70">
            <v>1951.1420000000001</v>
          </cell>
          <cell r="O70">
            <v>2042.1310000000001</v>
          </cell>
          <cell r="P70">
            <v>2006.991</v>
          </cell>
        </row>
        <row r="71">
          <cell r="C71" t="str">
            <v>041</v>
          </cell>
          <cell r="D71" t="str">
            <v>RENDAS EFETIVAS PELA HABITAÇÃO</v>
          </cell>
          <cell r="E71" t="str">
            <v>041</v>
          </cell>
          <cell r="F71">
            <v>3321.6109999999999</v>
          </cell>
          <cell r="G71">
            <v>3286.7379999999998</v>
          </cell>
          <cell r="H71">
            <v>3317.9520000000002</v>
          </cell>
          <cell r="I71">
            <v>3365.0160000000001</v>
          </cell>
          <cell r="J71">
            <v>3472.9789999999998</v>
          </cell>
          <cell r="K71">
            <v>3603.7510000000002</v>
          </cell>
          <cell r="L71">
            <v>3724.2809999999999</v>
          </cell>
          <cell r="M71">
            <v>3814.723</v>
          </cell>
          <cell r="N71">
            <v>3984.703</v>
          </cell>
          <cell r="O71">
            <v>4083.453</v>
          </cell>
          <cell r="P71">
            <v>4169.4290000000001</v>
          </cell>
        </row>
        <row r="72">
          <cell r="C72" t="str">
            <v>042</v>
          </cell>
          <cell r="D72" t="str">
            <v>RENDAS IMPUTADAS PELA HABITAÇÃO</v>
          </cell>
          <cell r="E72" t="str">
            <v>042</v>
          </cell>
          <cell r="F72">
            <v>11305.519</v>
          </cell>
          <cell r="G72">
            <v>11395.152</v>
          </cell>
          <cell r="H72">
            <v>11506.519</v>
          </cell>
          <cell r="I72">
            <v>11564.564</v>
          </cell>
          <cell r="J72">
            <v>11933.956</v>
          </cell>
          <cell r="K72">
            <v>11899.971</v>
          </cell>
          <cell r="L72">
            <v>12299.195</v>
          </cell>
          <cell r="M72">
            <v>12256.986000000001</v>
          </cell>
          <cell r="N72">
            <v>12801.162</v>
          </cell>
          <cell r="O72">
            <v>12749.269</v>
          </cell>
          <cell r="P72">
            <v>13016.942999999999</v>
          </cell>
        </row>
        <row r="73">
          <cell r="C73" t="str">
            <v>043</v>
          </cell>
          <cell r="D73" t="str">
            <v>MANUTENÇÃO, REPARAÇÃO e SEGURANÇA DAS HABITAÇÕES</v>
          </cell>
          <cell r="E73" t="str">
            <v>043</v>
          </cell>
          <cell r="F73">
            <v>333.97686103214812</v>
          </cell>
          <cell r="G73">
            <v>318.83799978888658</v>
          </cell>
          <cell r="H73">
            <v>324.47684292430074</v>
          </cell>
          <cell r="I73">
            <v>316.73825284626867</v>
          </cell>
          <cell r="J73">
            <v>319.32717861338517</v>
          </cell>
          <cell r="K73">
            <v>330.56370725046736</v>
          </cell>
          <cell r="L73">
            <v>323.43110748353979</v>
          </cell>
          <cell r="M73">
            <v>341.20779485540521</v>
          </cell>
          <cell r="N73">
            <v>339.22211063537492</v>
          </cell>
          <cell r="O73">
            <v>353.41229303105496</v>
          </cell>
          <cell r="P73">
            <v>354.1563445602838</v>
          </cell>
        </row>
        <row r="74">
          <cell r="C74" t="str">
            <v>044</v>
          </cell>
          <cell r="D74" t="str">
            <v xml:space="preserve">ABASTECIMENTO DE ÁGUA e SERVIÇOS DIVERSOS RELACIONADOS COM A HABITAÇÃO </v>
          </cell>
          <cell r="E74" t="str">
            <v>044</v>
          </cell>
          <cell r="F74">
            <v>1089.3486455095062</v>
          </cell>
          <cell r="G74">
            <v>1103.9191414021523</v>
          </cell>
          <cell r="H74">
            <v>1180.9112684110123</v>
          </cell>
          <cell r="I74">
            <v>1148.003827562439</v>
          </cell>
          <cell r="J74">
            <v>1200.5401300129593</v>
          </cell>
          <cell r="K74">
            <v>1170.7462870566983</v>
          </cell>
          <cell r="L74">
            <v>1192.1249473476516</v>
          </cell>
          <cell r="M74">
            <v>1171.3252862852498</v>
          </cell>
          <cell r="N74">
            <v>1190.8645408637303</v>
          </cell>
          <cell r="O74">
            <v>1143.2507165484631</v>
          </cell>
          <cell r="P74">
            <v>1194.5069186637504</v>
          </cell>
        </row>
        <row r="75">
          <cell r="C75" t="str">
            <v>045</v>
          </cell>
          <cell r="D75" t="str">
            <v>ELECTRICIDADE, GÁS e OUTROS COMBUSTÍVEIS</v>
          </cell>
          <cell r="E75" t="str">
            <v>045</v>
          </cell>
          <cell r="F75">
            <v>3840.1860000000001</v>
          </cell>
          <cell r="G75">
            <v>3618.998</v>
          </cell>
          <cell r="H75">
            <v>3977.7249999999999</v>
          </cell>
          <cell r="I75">
            <v>3787.1909999999998</v>
          </cell>
          <cell r="J75">
            <v>4284.9459999999999</v>
          </cell>
          <cell r="K75">
            <v>4099.2309999999998</v>
          </cell>
          <cell r="L75">
            <v>4227.6670000000004</v>
          </cell>
          <cell r="M75">
            <v>4315.4409999999998</v>
          </cell>
          <cell r="N75">
            <v>4394.116</v>
          </cell>
          <cell r="O75">
            <v>4401.7879999999996</v>
          </cell>
          <cell r="P75">
            <v>4413.4210000000003</v>
          </cell>
        </row>
        <row r="76">
          <cell r="C76" t="str">
            <v>051</v>
          </cell>
          <cell r="D76" t="str">
            <v>MOBILIÁRIO, ACESSÓRIOS e CARPETES</v>
          </cell>
          <cell r="E76" t="str">
            <v>051</v>
          </cell>
          <cell r="F76">
            <v>2076.6039999999998</v>
          </cell>
          <cell r="G76">
            <v>1921.624</v>
          </cell>
          <cell r="H76">
            <v>1957.2159999999999</v>
          </cell>
          <cell r="I76">
            <v>1672.345</v>
          </cell>
          <cell r="J76">
            <v>1645.91</v>
          </cell>
          <cell r="K76">
            <v>1524.153</v>
          </cell>
          <cell r="L76">
            <v>1497.6880000000001</v>
          </cell>
          <cell r="M76">
            <v>1528.3610000000001</v>
          </cell>
          <cell r="N76">
            <v>1525.489</v>
          </cell>
          <cell r="O76">
            <v>1585.2460000000001</v>
          </cell>
          <cell r="P76">
            <v>1593.027</v>
          </cell>
        </row>
        <row r="77">
          <cell r="C77" t="str">
            <v>052</v>
          </cell>
          <cell r="D77" t="str">
            <v>TÊXTEIS DE USO DOMÉSTICO</v>
          </cell>
          <cell r="E77" t="str">
            <v>052</v>
          </cell>
          <cell r="F77">
            <v>752.01400000000001</v>
          </cell>
          <cell r="G77">
            <v>629.46</v>
          </cell>
          <cell r="H77">
            <v>638.53800000000001</v>
          </cell>
          <cell r="I77">
            <v>614.71299999999997</v>
          </cell>
          <cell r="J77">
            <v>613.79999999999995</v>
          </cell>
          <cell r="K77">
            <v>639.827</v>
          </cell>
          <cell r="L77">
            <v>622.19200000000001</v>
          </cell>
          <cell r="M77">
            <v>637.49400000000003</v>
          </cell>
          <cell r="N77">
            <v>610.03800000000001</v>
          </cell>
          <cell r="O77">
            <v>596.83000000000004</v>
          </cell>
          <cell r="P77">
            <v>583.32399999999996</v>
          </cell>
        </row>
        <row r="78">
          <cell r="C78" t="str">
            <v>053</v>
          </cell>
          <cell r="D78" t="str">
            <v>ELETRODOMÉSTICOS</v>
          </cell>
          <cell r="E78" t="str">
            <v>053</v>
          </cell>
          <cell r="F78">
            <v>1296.1500716484884</v>
          </cell>
          <cell r="G78">
            <v>1218.4215331265552</v>
          </cell>
          <cell r="H78">
            <v>1217.3890888153783</v>
          </cell>
          <cell r="I78">
            <v>1037.1200585527206</v>
          </cell>
          <cell r="J78">
            <v>1027.6207066531892</v>
          </cell>
          <cell r="K78">
            <v>1071.5143000814212</v>
          </cell>
          <cell r="L78">
            <v>1061.6814270609093</v>
          </cell>
          <cell r="M78">
            <v>1140.0568119436937</v>
          </cell>
          <cell r="N78">
            <v>1126.7310912556632</v>
          </cell>
          <cell r="O78">
            <v>1141.9562104342303</v>
          </cell>
          <cell r="P78">
            <v>1133.8137625224444</v>
          </cell>
        </row>
        <row r="79">
          <cell r="C79" t="str">
            <v>054</v>
          </cell>
          <cell r="D79" t="str">
            <v>VIDROS, LOIÇAS e OUTROS UTENSÍLIOS DE USO DOMÉSTICO</v>
          </cell>
          <cell r="E79" t="str">
            <v>054</v>
          </cell>
          <cell r="F79">
            <v>377.63692835151164</v>
          </cell>
          <cell r="G79">
            <v>386.54746687344465</v>
          </cell>
          <cell r="H79">
            <v>385.33191118462173</v>
          </cell>
          <cell r="I79">
            <v>358.08194144727958</v>
          </cell>
          <cell r="J79">
            <v>363.15029334681083</v>
          </cell>
          <cell r="K79">
            <v>348.78869991857863</v>
          </cell>
          <cell r="L79">
            <v>345.58157293909062</v>
          </cell>
          <cell r="M79">
            <v>350.53018805630632</v>
          </cell>
          <cell r="N79">
            <v>342.8549087443368</v>
          </cell>
          <cell r="O79">
            <v>340.03578956576973</v>
          </cell>
          <cell r="P79">
            <v>336.27923747755557</v>
          </cell>
        </row>
        <row r="80">
          <cell r="C80" t="str">
            <v>055</v>
          </cell>
          <cell r="D80" t="str">
            <v>FERRAMENTAS e EQUIPAMENTO PARA CASA e JARDIM</v>
          </cell>
          <cell r="E80" t="str">
            <v>055</v>
          </cell>
          <cell r="F80">
            <v>93.134493458345688</v>
          </cell>
          <cell r="G80">
            <v>86.050858808961152</v>
          </cell>
          <cell r="H80">
            <v>86.095888664686882</v>
          </cell>
          <cell r="I80">
            <v>87.463919591292253</v>
          </cell>
          <cell r="J80">
            <v>86.465691373655645</v>
          </cell>
          <cell r="K80">
            <v>94.48100569283433</v>
          </cell>
          <cell r="L80">
            <v>93.014945168808367</v>
          </cell>
          <cell r="M80">
            <v>99.955918859345019</v>
          </cell>
          <cell r="N80">
            <v>99.736348500894806</v>
          </cell>
          <cell r="O80">
            <v>106.87099042048193</v>
          </cell>
          <cell r="P80">
            <v>106.46173677596585</v>
          </cell>
        </row>
        <row r="81">
          <cell r="C81" t="str">
            <v>056</v>
          </cell>
          <cell r="D81" t="str">
            <v>BENS e SERVIÇOS PARA A MANUTENÇÃO CORRENTE DA HABITAÇÃO</v>
          </cell>
          <cell r="E81" t="str">
            <v>056</v>
          </cell>
          <cell r="F81">
            <v>2266.3589999999999</v>
          </cell>
          <cell r="G81">
            <v>2202.3229999999999</v>
          </cell>
          <cell r="H81">
            <v>2237.85</v>
          </cell>
          <cell r="I81">
            <v>2124.873</v>
          </cell>
          <cell r="J81">
            <v>2131.0059999999999</v>
          </cell>
          <cell r="K81">
            <v>2079.2249999999999</v>
          </cell>
          <cell r="L81">
            <v>2087.29</v>
          </cell>
          <cell r="M81">
            <v>2103.7579999999998</v>
          </cell>
          <cell r="N81">
            <v>2121.2530000000002</v>
          </cell>
          <cell r="O81">
            <v>2104.607</v>
          </cell>
          <cell r="P81">
            <v>2148.7170000000001</v>
          </cell>
        </row>
        <row r="82">
          <cell r="C82" t="str">
            <v>061</v>
          </cell>
          <cell r="D82" t="str">
            <v>MEDICAMENTOS e PRODUTOS DE SAÚDE</v>
          </cell>
          <cell r="E82" t="str">
            <v>061</v>
          </cell>
          <cell r="F82">
            <v>2105.4889464661733</v>
          </cell>
          <cell r="G82">
            <v>1997.0757244693359</v>
          </cell>
          <cell r="H82">
            <v>2128.8915682699485</v>
          </cell>
          <cell r="I82">
            <v>1943.175283400949</v>
          </cell>
          <cell r="J82">
            <v>1861.3300539718564</v>
          </cell>
          <cell r="K82">
            <v>1756.2662922538816</v>
          </cell>
          <cell r="L82">
            <v>1850.4590836713533</v>
          </cell>
          <cell r="M82">
            <v>1683.6342585990749</v>
          </cell>
          <cell r="N82">
            <v>1711.2544680782592</v>
          </cell>
          <cell r="O82">
            <v>1845.102078787977</v>
          </cell>
          <cell r="P82">
            <v>1855.4198116516186</v>
          </cell>
        </row>
        <row r="83">
          <cell r="C83" t="str">
            <v>062</v>
          </cell>
          <cell r="D83" t="str">
            <v>SERVIÇOS DE SAÚDE EM AMBULATÓRIO</v>
          </cell>
          <cell r="E83" t="str">
            <v>062</v>
          </cell>
          <cell r="F83">
            <v>3397.8022535338268</v>
          </cell>
          <cell r="G83">
            <v>3201.4439255306643</v>
          </cell>
          <cell r="H83">
            <v>3272.9227817300516</v>
          </cell>
          <cell r="I83">
            <v>3091.172066599051</v>
          </cell>
          <cell r="J83">
            <v>3293.4127460281438</v>
          </cell>
          <cell r="K83">
            <v>3389.351557746118</v>
          </cell>
          <cell r="L83">
            <v>3397.804066328647</v>
          </cell>
          <cell r="M83">
            <v>3458.1660414009252</v>
          </cell>
          <cell r="N83">
            <v>3459.6313819217403</v>
          </cell>
          <cell r="O83">
            <v>3766.6842712120228</v>
          </cell>
          <cell r="P83">
            <v>3771.1613383483809</v>
          </cell>
        </row>
        <row r="84">
          <cell r="C84" t="str">
            <v>063</v>
          </cell>
          <cell r="D84" t="str">
            <v>SERVIÇOS DE SAÚDE EM ESTABELECIMENTOS HOSPITALARES COM INTERNAMENTO</v>
          </cell>
          <cell r="E84" t="str">
            <v>063</v>
          </cell>
          <cell r="F84">
            <v>283.67200000000003</v>
          </cell>
          <cell r="G84">
            <v>267.24200000000002</v>
          </cell>
          <cell r="H84">
            <v>272.97699999999998</v>
          </cell>
          <cell r="I84">
            <v>257.98399999999998</v>
          </cell>
          <cell r="J84">
            <v>275.471</v>
          </cell>
          <cell r="K84">
            <v>283.99599999999998</v>
          </cell>
          <cell r="L84">
            <v>284.43099999999998</v>
          </cell>
          <cell r="M84">
            <v>290.01799999999997</v>
          </cell>
          <cell r="N84">
            <v>290.07299999999998</v>
          </cell>
          <cell r="O84">
            <v>315.88099999999997</v>
          </cell>
          <cell r="P84">
            <v>316.238</v>
          </cell>
        </row>
        <row r="85">
          <cell r="C85" t="str">
            <v>064</v>
          </cell>
          <cell r="D85" t="str">
            <v>OUTROS SERVIÇOS DE SAÚDE</v>
          </cell>
          <cell r="E85" t="str">
            <v>062</v>
          </cell>
          <cell r="F85">
            <v>175.27380000000002</v>
          </cell>
          <cell r="G85">
            <v>165.12235000000001</v>
          </cell>
          <cell r="H85">
            <v>168.66165000000001</v>
          </cell>
          <cell r="I85">
            <v>159.40965000000003</v>
          </cell>
          <cell r="J85">
            <v>170.19220000000001</v>
          </cell>
          <cell r="K85">
            <v>175.41915</v>
          </cell>
          <cell r="L85">
            <v>175.70485000000002</v>
          </cell>
          <cell r="M85">
            <v>179.16370000000001</v>
          </cell>
          <cell r="N85">
            <v>179.19415000000001</v>
          </cell>
          <cell r="O85">
            <v>195.12864999999999</v>
          </cell>
          <cell r="P85">
            <v>195.34685000000002</v>
          </cell>
        </row>
        <row r="86">
          <cell r="C86" t="str">
            <v>071</v>
          </cell>
          <cell r="D86" t="str">
            <v>AQUISIÇÃO DE VEÍCULOS</v>
          </cell>
          <cell r="E86" t="str">
            <v>071</v>
          </cell>
          <cell r="F86">
            <v>5842.5709999999999</v>
          </cell>
          <cell r="G86">
            <v>4424.2969999999996</v>
          </cell>
          <cell r="H86">
            <v>4538.2510000000002</v>
          </cell>
          <cell r="I86">
            <v>2989.377</v>
          </cell>
          <cell r="J86">
            <v>3004.8330000000001</v>
          </cell>
          <cell r="K86">
            <v>3145.576</v>
          </cell>
          <cell r="L86">
            <v>3143.366</v>
          </cell>
          <cell r="M86">
            <v>4133.8119999999999</v>
          </cell>
          <cell r="N86">
            <v>4150.223</v>
          </cell>
          <cell r="O86">
            <v>5058.973</v>
          </cell>
          <cell r="P86">
            <v>5101.9430000000002</v>
          </cell>
        </row>
        <row r="87">
          <cell r="C87" t="str">
            <v>072</v>
          </cell>
          <cell r="D87" t="str">
            <v>UTILIZAÇÃO DE EQUIPAMENTO PARA TRANSPORTE PESSOAL</v>
          </cell>
          <cell r="E87" t="str">
            <v>072</v>
          </cell>
          <cell r="F87">
            <v>8720.7109999999993</v>
          </cell>
          <cell r="G87">
            <v>8152.1390000000001</v>
          </cell>
          <cell r="H87">
            <v>9101.15</v>
          </cell>
          <cell r="I87">
            <v>8433.77</v>
          </cell>
          <cell r="J87">
            <v>8809.2350000000006</v>
          </cell>
          <cell r="K87">
            <v>8275.9979999999996</v>
          </cell>
          <cell r="L87">
            <v>8179.2920000000004</v>
          </cell>
          <cell r="M87">
            <v>8389.9560000000001</v>
          </cell>
          <cell r="N87">
            <v>8230.5959999999995</v>
          </cell>
          <cell r="O87">
            <v>7992.1589999999997</v>
          </cell>
          <cell r="P87">
            <v>7864.7030000000004</v>
          </cell>
        </row>
        <row r="88">
          <cell r="C88" t="str">
            <v>073</v>
          </cell>
          <cell r="D88" t="str">
            <v>SERVIÇOS DE TRANSPORTE DE PASSAGEIROS</v>
          </cell>
          <cell r="E88" t="str">
            <v>073</v>
          </cell>
          <cell r="F88">
            <v>2066.928865206643</v>
          </cell>
          <cell r="G88">
            <v>1758.6212682784576</v>
          </cell>
          <cell r="H88">
            <v>1906.9539148092454</v>
          </cell>
          <cell r="I88">
            <v>1842.2389837892301</v>
          </cell>
          <cell r="J88">
            <v>1938.9911970138057</v>
          </cell>
          <cell r="K88">
            <v>2000.9800813865079</v>
          </cell>
          <cell r="L88">
            <v>2072.2752281885678</v>
          </cell>
          <cell r="M88">
            <v>2143.703036609395</v>
          </cell>
          <cell r="N88">
            <v>2170.3390957641195</v>
          </cell>
          <cell r="O88">
            <v>2159.7441204667302</v>
          </cell>
          <cell r="P88">
            <v>2199.121679757855</v>
          </cell>
        </row>
        <row r="89">
          <cell r="C89" t="str">
            <v>074</v>
          </cell>
          <cell r="D89" t="str">
            <v>SERVIÇOS DE TRANSPORTE DE BENS</v>
          </cell>
          <cell r="E89" t="str">
            <v>081</v>
          </cell>
          <cell r="F89">
            <v>137.10913479335719</v>
          </cell>
          <cell r="G89">
            <v>128.94973172154229</v>
          </cell>
          <cell r="H89">
            <v>129.37008519075445</v>
          </cell>
          <cell r="I89">
            <v>123.71401621076988</v>
          </cell>
          <cell r="J89">
            <v>123.95980298619411</v>
          </cell>
          <cell r="K89">
            <v>114.87991861349222</v>
          </cell>
          <cell r="L89">
            <v>127.64077181143239</v>
          </cell>
          <cell r="M89">
            <v>114.81796339060462</v>
          </cell>
          <cell r="N89">
            <v>132.77390423588065</v>
          </cell>
          <cell r="O89">
            <v>123.30887953326973</v>
          </cell>
          <cell r="P89">
            <v>133.03132024214506</v>
          </cell>
        </row>
        <row r="90">
          <cell r="C90" t="str">
            <v>081</v>
          </cell>
          <cell r="D90" t="str">
            <v>EQUIPAMENTO DE INFORMAÇÃO e COMUNICAÇÃO</v>
          </cell>
          <cell r="E90" t="str">
            <v>082</v>
          </cell>
          <cell r="F90">
            <v>671.31110000000012</v>
          </cell>
          <cell r="G90">
            <v>662.7333000000001</v>
          </cell>
          <cell r="H90">
            <v>609.40070000000003</v>
          </cell>
          <cell r="I90">
            <v>650.10754999999995</v>
          </cell>
          <cell r="J90">
            <v>592.88015000000007</v>
          </cell>
          <cell r="K90">
            <v>578.1998000000001</v>
          </cell>
          <cell r="L90">
            <v>546.15025000000003</v>
          </cell>
          <cell r="M90">
            <v>585.16385000000014</v>
          </cell>
          <cell r="N90">
            <v>545.28555000000006</v>
          </cell>
          <cell r="O90">
            <v>602.10930000000008</v>
          </cell>
          <cell r="P90">
            <v>598.11445000000003</v>
          </cell>
        </row>
        <row r="91">
          <cell r="C91" t="str">
            <v>082</v>
          </cell>
          <cell r="D91" t="str">
            <v>PROGRAMAS INFORMÁTICOS (SOFTWARE) EXCLUINDO JOGOS</v>
          </cell>
          <cell r="E91" t="str">
            <v>091</v>
          </cell>
          <cell r="F91">
            <v>3.0230749190991788</v>
          </cell>
          <cell r="G91">
            <v>2.9749366609115202</v>
          </cell>
          <cell r="H91">
            <v>2.7359712677890422</v>
          </cell>
          <cell r="I91">
            <v>2.8987965351357095</v>
          </cell>
          <cell r="J91">
            <v>2.6581382231365707</v>
          </cell>
          <cell r="K91">
            <v>2.5793817681877389</v>
          </cell>
          <cell r="L91">
            <v>2.4171226392965779</v>
          </cell>
          <cell r="M91">
            <v>2.5411564294613087</v>
          </cell>
          <cell r="N91">
            <v>2.3737718237763601</v>
          </cell>
          <cell r="O91">
            <v>2.5412636110135649</v>
          </cell>
          <cell r="P91">
            <v>2.4890826845343983</v>
          </cell>
        </row>
        <row r="92">
          <cell r="C92" t="str">
            <v>083</v>
          </cell>
          <cell r="D92" t="str">
            <v>SERVIÇOS DE INFORMAÇÃO e COMUNICAÇÃO</v>
          </cell>
          <cell r="E92" t="str">
            <v>083</v>
          </cell>
          <cell r="F92">
            <v>3822.1274455751613</v>
          </cell>
          <cell r="G92">
            <v>3909.0926328947762</v>
          </cell>
          <cell r="H92">
            <v>3753.9835446182915</v>
          </cell>
          <cell r="I92">
            <v>3634.0316345813408</v>
          </cell>
          <cell r="J92">
            <v>3653.5912244763804</v>
          </cell>
          <cell r="K92">
            <v>3393.5250512967041</v>
          </cell>
          <cell r="L92">
            <v>3396.7323177726112</v>
          </cell>
          <cell r="M92">
            <v>3196.0221662780946</v>
          </cell>
          <cell r="N92">
            <v>3209.8431506354832</v>
          </cell>
          <cell r="O92">
            <v>3086.005449563359</v>
          </cell>
          <cell r="P92">
            <v>3198.0891126196848</v>
          </cell>
        </row>
        <row r="93">
          <cell r="C93" t="str">
            <v>091</v>
          </cell>
          <cell r="D93" t="str">
            <v>BENS RECREATIVOS DURADOUROS</v>
          </cell>
          <cell r="E93" t="str">
            <v>091</v>
          </cell>
          <cell r="F93">
            <v>540.87978988173859</v>
          </cell>
          <cell r="G93">
            <v>528.37205344336849</v>
          </cell>
          <cell r="H93">
            <v>490.39137651791498</v>
          </cell>
          <cell r="I93">
            <v>509.014842815713</v>
          </cell>
          <cell r="J93">
            <v>468.69029776015822</v>
          </cell>
          <cell r="K93">
            <v>458.19752074122459</v>
          </cell>
          <cell r="L93">
            <v>431.14145207829188</v>
          </cell>
          <cell r="M93">
            <v>449.44726102070229</v>
          </cell>
          <cell r="N93">
            <v>421.52939446705432</v>
          </cell>
          <cell r="O93">
            <v>454.1798885869714</v>
          </cell>
          <cell r="P93">
            <v>446.27352367751166</v>
          </cell>
        </row>
        <row r="94">
          <cell r="C94" t="str">
            <v>092</v>
          </cell>
          <cell r="D94" t="str">
            <v>OUTROS BENS RECREATIVOS</v>
          </cell>
          <cell r="E94" t="str">
            <v>093</v>
          </cell>
          <cell r="F94">
            <v>559.46741887152461</v>
          </cell>
          <cell r="G94">
            <v>544.0555468591981</v>
          </cell>
          <cell r="H94">
            <v>542.71512428691892</v>
          </cell>
          <cell r="I94">
            <v>506.43873509825943</v>
          </cell>
          <cell r="J94">
            <v>504.34544516740459</v>
          </cell>
          <cell r="K94">
            <v>496.53892767550559</v>
          </cell>
          <cell r="L94">
            <v>490.46154866280472</v>
          </cell>
          <cell r="M94">
            <v>492.30222304697696</v>
          </cell>
          <cell r="N94">
            <v>483.80856471193346</v>
          </cell>
          <cell r="O94">
            <v>515.48442977250556</v>
          </cell>
          <cell r="P94">
            <v>512.46167396686576</v>
          </cell>
        </row>
        <row r="95">
          <cell r="C95" t="str">
            <v>093</v>
          </cell>
          <cell r="D95" t="str">
            <v>PRODUTOS DE JARDINAGEM e ANIMAIS DE ESTIMAÇÃO</v>
          </cell>
          <cell r="E95" t="str">
            <v>093</v>
          </cell>
          <cell r="F95">
            <v>962.6870566732041</v>
          </cell>
          <cell r="G95">
            <v>936.16753255990102</v>
          </cell>
          <cell r="H95">
            <v>933.86103996126394</v>
          </cell>
          <cell r="I95">
            <v>871.43951342232208</v>
          </cell>
          <cell r="J95">
            <v>867.83754652608513</v>
          </cell>
          <cell r="K95">
            <v>854.40471184501882</v>
          </cell>
          <cell r="L95">
            <v>843.9472411922585</v>
          </cell>
          <cell r="M95">
            <v>847.1145273387275</v>
          </cell>
          <cell r="N95">
            <v>832.49931532255005</v>
          </cell>
          <cell r="O95">
            <v>887.0046256840501</v>
          </cell>
          <cell r="P95">
            <v>881.80330780312181</v>
          </cell>
        </row>
        <row r="96">
          <cell r="C96" t="str">
            <v>094</v>
          </cell>
          <cell r="D96" t="str">
            <v>SERVIÇOS RECREATIVOS</v>
          </cell>
          <cell r="E96" t="str">
            <v>094</v>
          </cell>
          <cell r="F96">
            <v>1316.9880485948029</v>
          </cell>
          <cell r="G96">
            <v>1325.7155420489341</v>
          </cell>
          <cell r="H96">
            <v>1341.9977989515544</v>
          </cell>
          <cell r="I96">
            <v>1311.9123026808309</v>
          </cell>
          <cell r="J96">
            <v>1314.9005591594596</v>
          </cell>
          <cell r="K96">
            <v>1284.883188424255</v>
          </cell>
          <cell r="L96">
            <v>1279.7170626703551</v>
          </cell>
          <cell r="M96">
            <v>1346.1893885046959</v>
          </cell>
          <cell r="N96">
            <v>1344.1964126929761</v>
          </cell>
          <cell r="O96">
            <v>1434.8607860782679</v>
          </cell>
          <cell r="P96">
            <v>1467.0034365254662</v>
          </cell>
        </row>
        <row r="97">
          <cell r="C97" t="str">
            <v>095</v>
          </cell>
          <cell r="D97" t="str">
            <v>BENS CULTURAIS</v>
          </cell>
          <cell r="E97" t="str">
            <v>092</v>
          </cell>
          <cell r="F97">
            <v>60.659035199162155</v>
          </cell>
          <cell r="G97">
            <v>54.86170989571999</v>
          </cell>
          <cell r="H97">
            <v>55.988952214295892</v>
          </cell>
          <cell r="I97">
            <v>46.220810649151197</v>
          </cell>
          <cell r="J97">
            <v>44.782414016705133</v>
          </cell>
          <cell r="K97">
            <v>47.665297490587598</v>
          </cell>
          <cell r="L97">
            <v>46.859175282411513</v>
          </cell>
          <cell r="M97">
            <v>44.527732549836308</v>
          </cell>
          <cell r="N97">
            <v>43.687283709169208</v>
          </cell>
          <cell r="O97">
            <v>50.376547802014997</v>
          </cell>
          <cell r="P97">
            <v>51.102943637953885</v>
          </cell>
        </row>
        <row r="98">
          <cell r="C98" t="str">
            <v>096</v>
          </cell>
          <cell r="D98" t="str">
            <v>SERVIÇOS CULTURAIS</v>
          </cell>
          <cell r="E98" t="str">
            <v>094</v>
          </cell>
          <cell r="F98">
            <v>1019.8870302853073</v>
          </cell>
          <cell r="G98">
            <v>1031.5767456371905</v>
          </cell>
          <cell r="H98">
            <v>1046.3154921819712</v>
          </cell>
          <cell r="I98">
            <v>1029.0768142172465</v>
          </cell>
          <cell r="J98">
            <v>1032.2582246706706</v>
          </cell>
          <cell r="K98">
            <v>1007.7371207585167</v>
          </cell>
          <cell r="L98">
            <v>1004.7378297019709</v>
          </cell>
          <cell r="M98">
            <v>1063.0226948315053</v>
          </cell>
          <cell r="N98">
            <v>1063.4515566370571</v>
          </cell>
          <cell r="O98">
            <v>1135.4267089018172</v>
          </cell>
          <cell r="P98">
            <v>1164.6194690848615</v>
          </cell>
        </row>
        <row r="99">
          <cell r="C99" t="str">
            <v>097</v>
          </cell>
          <cell r="D99" t="str">
            <v>JORNAIS, LIVROS e ARTIGOS DE PAPELARIA</v>
          </cell>
          <cell r="E99" t="str">
            <v>095</v>
          </cell>
          <cell r="F99">
            <v>1691.9849999999999</v>
          </cell>
          <cell r="G99">
            <v>1472.818</v>
          </cell>
          <cell r="H99">
            <v>1504.288</v>
          </cell>
          <cell r="I99">
            <v>1331.5129999999999</v>
          </cell>
          <cell r="J99">
            <v>1336.79</v>
          </cell>
          <cell r="K99">
            <v>1256.037</v>
          </cell>
          <cell r="L99">
            <v>1262.9860000000001</v>
          </cell>
          <cell r="M99">
            <v>1253.279</v>
          </cell>
          <cell r="N99">
            <v>1257.7819999999999</v>
          </cell>
          <cell r="O99">
            <v>1243.3330000000001</v>
          </cell>
          <cell r="P99">
            <v>1259.8869999999999</v>
          </cell>
        </row>
        <row r="100">
          <cell r="C100" t="str">
            <v>098</v>
          </cell>
          <cell r="D100" t="str">
            <v>FÉRIAS ORGANIZADAS</v>
          </cell>
          <cell r="E100" t="str">
            <v>096</v>
          </cell>
          <cell r="F100">
            <v>458.22699999999998</v>
          </cell>
          <cell r="G100">
            <v>398.04700000000003</v>
          </cell>
          <cell r="H100">
            <v>410.00200000000001</v>
          </cell>
          <cell r="I100">
            <v>390.363</v>
          </cell>
          <cell r="J100">
            <v>400.43599999999998</v>
          </cell>
          <cell r="K100">
            <v>368.36099999999999</v>
          </cell>
          <cell r="L100">
            <v>384.21100000000001</v>
          </cell>
          <cell r="M100">
            <v>378.84800000000001</v>
          </cell>
          <cell r="N100">
            <v>379.77800000000002</v>
          </cell>
          <cell r="O100">
            <v>401.851</v>
          </cell>
          <cell r="P100">
            <v>403.78</v>
          </cell>
        </row>
        <row r="101">
          <cell r="C101" t="str">
            <v>101</v>
          </cell>
          <cell r="D101" t="str">
            <v>EDUCAÇÃO PRÉ-ESCOLAR e ENSINO BÁSICO (1.° e 2.° CICLO)</v>
          </cell>
          <cell r="E101" t="str">
            <v>101</v>
          </cell>
          <cell r="F101">
            <v>558.47900000000004</v>
          </cell>
          <cell r="G101">
            <v>586.07500000000005</v>
          </cell>
          <cell r="H101">
            <v>600.774</v>
          </cell>
          <cell r="I101">
            <v>547.28200000000004</v>
          </cell>
          <cell r="J101">
            <v>558.75300000000004</v>
          </cell>
          <cell r="K101">
            <v>527.10199999999998</v>
          </cell>
          <cell r="L101">
            <v>534.13</v>
          </cell>
          <cell r="M101">
            <v>521.32899999999995</v>
          </cell>
          <cell r="N101">
            <v>523.82799999999997</v>
          </cell>
          <cell r="O101">
            <v>515.99800000000005</v>
          </cell>
          <cell r="P101">
            <v>519.64300000000003</v>
          </cell>
        </row>
        <row r="102">
          <cell r="C102" t="str">
            <v>102</v>
          </cell>
          <cell r="D102" t="str">
            <v>ENSINO BÁSICO (3.°CICLO) e SECUNDÁRIO</v>
          </cell>
          <cell r="E102" t="str">
            <v>102</v>
          </cell>
          <cell r="F102">
            <v>186.14</v>
          </cell>
          <cell r="G102">
            <v>195.33799999999999</v>
          </cell>
          <cell r="H102">
            <v>200.24</v>
          </cell>
          <cell r="I102">
            <v>182.41399999999999</v>
          </cell>
          <cell r="J102">
            <v>186.23099999999999</v>
          </cell>
          <cell r="K102">
            <v>175.685</v>
          </cell>
          <cell r="L102">
            <v>178.02199999999999</v>
          </cell>
          <cell r="M102">
            <v>173.75899999999999</v>
          </cell>
          <cell r="N102">
            <v>174.59</v>
          </cell>
          <cell r="O102">
            <v>171.98500000000001</v>
          </cell>
          <cell r="P102">
            <v>173.2</v>
          </cell>
        </row>
        <row r="103">
          <cell r="C103" t="str">
            <v>103</v>
          </cell>
          <cell r="D103" t="str">
            <v>ENSINO PÓS-SECUNDÁRIO NÃO SUPERIOR</v>
          </cell>
          <cell r="E103" t="str">
            <v>103</v>
          </cell>
          <cell r="F103">
            <v>4.2839999999999998</v>
          </cell>
          <cell r="G103">
            <v>4.4950000000000001</v>
          </cell>
          <cell r="H103">
            <v>4.609</v>
          </cell>
          <cell r="I103">
            <v>4.1980000000000004</v>
          </cell>
          <cell r="J103">
            <v>4.2859999999999996</v>
          </cell>
          <cell r="K103">
            <v>4.0430000000000001</v>
          </cell>
          <cell r="L103">
            <v>4.0970000000000004</v>
          </cell>
          <cell r="M103">
            <v>3.9990000000000001</v>
          </cell>
          <cell r="N103">
            <v>4.0190000000000001</v>
          </cell>
          <cell r="O103">
            <v>3.9590000000000001</v>
          </cell>
          <cell r="P103">
            <v>3.9860000000000002</v>
          </cell>
        </row>
        <row r="104">
          <cell r="C104" t="str">
            <v>104</v>
          </cell>
          <cell r="D104" t="str">
            <v>ENSINO SUPERIOR</v>
          </cell>
          <cell r="E104" t="str">
            <v>104</v>
          </cell>
          <cell r="F104">
            <v>711.11300000000006</v>
          </cell>
          <cell r="G104">
            <v>746.245</v>
          </cell>
          <cell r="H104">
            <v>764.96299999999997</v>
          </cell>
          <cell r="I104">
            <v>696.86199999999997</v>
          </cell>
          <cell r="J104">
            <v>711.46</v>
          </cell>
          <cell r="K104">
            <v>671.16499999999996</v>
          </cell>
          <cell r="L104">
            <v>680.10500000000002</v>
          </cell>
          <cell r="M104">
            <v>663.80399999999997</v>
          </cell>
          <cell r="N104">
            <v>666.98</v>
          </cell>
          <cell r="O104">
            <v>657.02</v>
          </cell>
          <cell r="P104">
            <v>661.65800000000002</v>
          </cell>
        </row>
        <row r="105">
          <cell r="C105" t="str">
            <v>105</v>
          </cell>
          <cell r="D105" t="str">
            <v>ENSINO NÃO DEFINIDO POR NÍVEIS</v>
          </cell>
          <cell r="E105" t="str">
            <v>105</v>
          </cell>
          <cell r="F105">
            <v>611.92999999999995</v>
          </cell>
          <cell r="G105">
            <v>599.95600000000002</v>
          </cell>
          <cell r="H105">
            <v>597.85400000000004</v>
          </cell>
          <cell r="I105">
            <v>554.54899999999998</v>
          </cell>
          <cell r="J105">
            <v>546.49199999999996</v>
          </cell>
          <cell r="K105">
            <v>518.50300000000004</v>
          </cell>
          <cell r="L105">
            <v>512.81799999999998</v>
          </cell>
          <cell r="M105">
            <v>547.54399999999998</v>
          </cell>
          <cell r="N105">
            <v>538.54100000000005</v>
          </cell>
          <cell r="O105">
            <v>521.40099999999995</v>
          </cell>
          <cell r="P105">
            <v>522.21199999999999</v>
          </cell>
        </row>
        <row r="106">
          <cell r="C106" t="str">
            <v>111</v>
          </cell>
          <cell r="D106" t="str">
            <v>SERVIÇOS DE FORNECIMENTO DE PRODUTOS ALIMENTARES e BEBIDAS</v>
          </cell>
          <cell r="E106" t="str">
            <v>111</v>
          </cell>
          <cell r="F106">
            <v>10183.376</v>
          </cell>
          <cell r="G106">
            <v>9719.4779999999992</v>
          </cell>
          <cell r="H106">
            <v>9892.6640000000007</v>
          </cell>
          <cell r="I106">
            <v>9158.1820000000007</v>
          </cell>
          <cell r="J106">
            <v>9570.7749999999996</v>
          </cell>
          <cell r="K106">
            <v>9154.0290000000005</v>
          </cell>
          <cell r="L106">
            <v>9271.9150000000009</v>
          </cell>
          <cell r="M106">
            <v>9812.4590000000007</v>
          </cell>
          <cell r="N106">
            <v>9870.1980000000003</v>
          </cell>
          <cell r="O106">
            <v>10352.672</v>
          </cell>
          <cell r="P106">
            <v>10433.698</v>
          </cell>
        </row>
        <row r="107">
          <cell r="C107" t="str">
            <v>112</v>
          </cell>
          <cell r="D107" t="str">
            <v>SERVIÇOS DE ALOJAMENTO</v>
          </cell>
          <cell r="E107" t="str">
            <v>112</v>
          </cell>
          <cell r="F107">
            <v>2474.261</v>
          </cell>
          <cell r="G107">
            <v>2535.5889999999999</v>
          </cell>
          <cell r="H107">
            <v>2654.8789999999999</v>
          </cell>
          <cell r="I107">
            <v>2937.741</v>
          </cell>
          <cell r="J107">
            <v>2972.49</v>
          </cell>
          <cell r="K107">
            <v>3173.116</v>
          </cell>
          <cell r="L107">
            <v>3184.194</v>
          </cell>
          <cell r="M107">
            <v>3409.8710000000001</v>
          </cell>
          <cell r="N107">
            <v>3450.35</v>
          </cell>
          <cell r="O107">
            <v>3507.8969999999999</v>
          </cell>
          <cell r="P107">
            <v>3752.7840000000001</v>
          </cell>
        </row>
        <row r="108">
          <cell r="C108" t="str">
            <v>121</v>
          </cell>
          <cell r="D108" t="str">
            <v>SEGUROS</v>
          </cell>
          <cell r="E108" t="str">
            <v>125</v>
          </cell>
          <cell r="F108">
            <v>3230.2420000000002</v>
          </cell>
          <cell r="G108">
            <v>3660.1930000000002</v>
          </cell>
          <cell r="H108">
            <v>3633.3960000000002</v>
          </cell>
          <cell r="I108">
            <v>3072.6469999999999</v>
          </cell>
          <cell r="J108">
            <v>3109.5230000000001</v>
          </cell>
          <cell r="K108">
            <v>2958.692</v>
          </cell>
          <cell r="L108">
            <v>2909.2959999999998</v>
          </cell>
          <cell r="M108">
            <v>2850.797</v>
          </cell>
          <cell r="N108">
            <v>2781.9070000000002</v>
          </cell>
          <cell r="O108">
            <v>2457.3679999999999</v>
          </cell>
          <cell r="P108">
            <v>2177.6039999999998</v>
          </cell>
        </row>
        <row r="109">
          <cell r="C109" t="str">
            <v>122</v>
          </cell>
          <cell r="D109" t="str">
            <v>SERVIÇOS FINANCEIROS</v>
          </cell>
          <cell r="E109" t="str">
            <v>126</v>
          </cell>
          <cell r="F109">
            <v>3731.768</v>
          </cell>
          <cell r="G109">
            <v>3672.1280000000002</v>
          </cell>
          <cell r="H109">
            <v>2996.3240000000001</v>
          </cell>
          <cell r="I109">
            <v>3069.2269999999999</v>
          </cell>
          <cell r="J109">
            <v>2698.6190000000001</v>
          </cell>
          <cell r="K109">
            <v>2790.2959999999998</v>
          </cell>
          <cell r="L109">
            <v>2736.9209999999998</v>
          </cell>
          <cell r="M109">
            <v>2465.2649999999999</v>
          </cell>
          <cell r="N109">
            <v>2421.181</v>
          </cell>
          <cell r="O109">
            <v>2330.8139999999999</v>
          </cell>
          <cell r="P109">
            <v>2621.3670000000002</v>
          </cell>
        </row>
        <row r="110">
          <cell r="C110" t="str">
            <v>131</v>
          </cell>
          <cell r="D110" t="str">
            <v>CUIDADOS PESSOAIS</v>
          </cell>
          <cell r="E110" t="str">
            <v>121</v>
          </cell>
          <cell r="F110">
            <v>2598.1610000000001</v>
          </cell>
          <cell r="G110">
            <v>2571.049</v>
          </cell>
          <cell r="H110">
            <v>2577.1680000000001</v>
          </cell>
          <cell r="I110">
            <v>2505.1529999999998</v>
          </cell>
          <cell r="J110">
            <v>2487.6439999999998</v>
          </cell>
          <cell r="K110">
            <v>2515.2559999999999</v>
          </cell>
          <cell r="L110">
            <v>2497.491</v>
          </cell>
          <cell r="M110">
            <v>2620.4839999999999</v>
          </cell>
          <cell r="N110">
            <v>2595.9789999999998</v>
          </cell>
          <cell r="O110">
            <v>2621.1999999999998</v>
          </cell>
          <cell r="P110">
            <v>2629.165</v>
          </cell>
        </row>
        <row r="111">
          <cell r="C111" t="str">
            <v>132</v>
          </cell>
          <cell r="D111" t="str">
            <v>ARTIGOS PESSOAIS N.E.</v>
          </cell>
          <cell r="E111" t="str">
            <v>123</v>
          </cell>
          <cell r="F111">
            <v>1173.2190000000001</v>
          </cell>
          <cell r="G111">
            <v>978.33299999999997</v>
          </cell>
          <cell r="H111">
            <v>984.20500000000004</v>
          </cell>
          <cell r="I111">
            <v>875.35799999999995</v>
          </cell>
          <cell r="J111">
            <v>879.78599999999994</v>
          </cell>
          <cell r="K111">
            <v>1004.001</v>
          </cell>
          <cell r="L111">
            <v>1017.626</v>
          </cell>
          <cell r="M111">
            <v>1262.8209999999999</v>
          </cell>
          <cell r="N111">
            <v>1217.491</v>
          </cell>
          <cell r="O111">
            <v>1378.268</v>
          </cell>
          <cell r="P111">
            <v>1373.0160000000001</v>
          </cell>
        </row>
        <row r="112">
          <cell r="C112" t="str">
            <v>133</v>
          </cell>
          <cell r="D112" t="str">
            <v>PROTEÇÃO SOCIAL</v>
          </cell>
          <cell r="E112" t="str">
            <v>124</v>
          </cell>
          <cell r="F112">
            <v>1370.8309999999999</v>
          </cell>
          <cell r="G112">
            <v>1438.105</v>
          </cell>
          <cell r="H112">
            <v>1466.932</v>
          </cell>
          <cell r="I112">
            <v>1452.3520000000001</v>
          </cell>
          <cell r="J112">
            <v>1460.559</v>
          </cell>
          <cell r="K112">
            <v>1527.029</v>
          </cell>
          <cell r="L112">
            <v>1527.4580000000001</v>
          </cell>
          <cell r="M112">
            <v>1541.502</v>
          </cell>
          <cell r="N112">
            <v>1530.414</v>
          </cell>
          <cell r="O112">
            <v>1599.4490000000001</v>
          </cell>
          <cell r="P112">
            <v>1572.0229999999999</v>
          </cell>
        </row>
        <row r="113">
          <cell r="C113" t="str">
            <v>139</v>
          </cell>
          <cell r="D113" t="str">
            <v>OUTROS SERVIÇOS N.E.</v>
          </cell>
          <cell r="E113" t="str">
            <v>127</v>
          </cell>
          <cell r="F113">
            <v>2314.2339999999999</v>
          </cell>
          <cell r="G113">
            <v>2198.674</v>
          </cell>
          <cell r="H113">
            <v>2283.9279999999999</v>
          </cell>
          <cell r="I113">
            <v>2249.7600000000002</v>
          </cell>
          <cell r="J113">
            <v>2238.377</v>
          </cell>
          <cell r="K113">
            <v>2156.8379999999997</v>
          </cell>
          <cell r="L113">
            <v>2173.1570000000002</v>
          </cell>
          <cell r="M113">
            <v>2268.6990000000001</v>
          </cell>
          <cell r="N113">
            <v>2269.3739999999998</v>
          </cell>
          <cell r="O113">
            <v>2333.0219999999999</v>
          </cell>
          <cell r="P113">
            <v>2335.2260000000001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1"/>
      <sheetName val="QRE11_agreg"/>
      <sheetName val="QRE431X80_BP"/>
      <sheetName val="QRE80X80_BP"/>
      <sheetName val="QRE_P38"/>
      <sheetName val="QRE_P21"/>
      <sheetName val="Sheet1"/>
      <sheetName val="QRE2011"/>
    </sheetNames>
    <sheetDataSet>
      <sheetData sheetId="0"/>
      <sheetData sheetId="1">
        <row r="446">
          <cell r="ES446">
            <v>-7388817</v>
          </cell>
        </row>
        <row r="447">
          <cell r="ES447">
            <v>2111369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2"/>
      <sheetName val="QRE12_agreg"/>
      <sheetName val="QRE431X80_BP"/>
      <sheetName val="QRE80X80_BP"/>
      <sheetName val="QRE_P38"/>
      <sheetName val="QRE_P21"/>
      <sheetName val="Sheet1"/>
      <sheetName val="QRE2012"/>
      <sheetName val="QRE13_agreg"/>
    </sheetNames>
    <sheetDataSet>
      <sheetData sheetId="0"/>
      <sheetData sheetId="1">
        <row r="446">
          <cell r="ES446">
            <v>-7866083</v>
          </cell>
        </row>
        <row r="447">
          <cell r="ES447">
            <v>2207014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cessTable_CRM"/>
      <sheetName val="QRE13"/>
      <sheetName val="QRE13_agreg"/>
      <sheetName val="QRE431X80_BP"/>
      <sheetName val="QRE80X80_BP"/>
      <sheetName val="QRE_P38"/>
      <sheetName val="QRE_P21"/>
      <sheetName val="Sheet1"/>
      <sheetName val="QRE2013"/>
      <sheetName val="QRE14_agreg"/>
    </sheetNames>
    <sheetDataSet>
      <sheetData sheetId="0"/>
      <sheetData sheetId="1">
        <row r="446">
          <cell r="ES446">
            <v>-8346141</v>
          </cell>
        </row>
        <row r="447">
          <cell r="ES447">
            <v>2156157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ngt_server/attachfileu.jsp?look_parentBoui=215820499&amp;att_display=n&amp;att_download=y" TargetMode="External"/><Relationship Id="rId1" Type="http://schemas.openxmlformats.org/officeDocument/2006/relationships/hyperlink" Target="http://www.ine.pt/ngt_server/attachfileu.jsp?look_parentBoui=215821289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V49"/>
  <sheetViews>
    <sheetView tabSelected="1" zoomScale="85" zoomScaleNormal="85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ColWidth="9.26953125" defaultRowHeight="10"/>
  <cols>
    <col min="1" max="1" width="13" style="2" customWidth="1"/>
    <col min="2" max="2" width="11.453125" style="2" customWidth="1"/>
    <col min="3" max="3" width="11.54296875" style="2" customWidth="1"/>
    <col min="4" max="4" width="11.453125" style="2" customWidth="1"/>
    <col min="5" max="5" width="14.453125" style="2" customWidth="1"/>
    <col min="6" max="7" width="11.453125" style="2" customWidth="1"/>
    <col min="8" max="8" width="9.453125" style="2" customWidth="1"/>
    <col min="9" max="9" width="10.453125" style="2" customWidth="1"/>
    <col min="10" max="67" width="9.453125" style="2" customWidth="1"/>
    <col min="68" max="16384" width="9.26953125" style="2"/>
  </cols>
  <sheetData>
    <row r="1" spans="1:74" s="1" customFormat="1" ht="12.65" customHeight="1">
      <c r="A1" s="54"/>
    </row>
    <row r="2" spans="1:74" s="1" customFormat="1" ht="12.65" customHeight="1">
      <c r="A2" s="6" t="s">
        <v>160</v>
      </c>
      <c r="B2" s="6"/>
      <c r="C2" s="6"/>
      <c r="D2" s="6"/>
      <c r="E2" s="2"/>
      <c r="F2" s="2"/>
      <c r="G2" s="2"/>
    </row>
    <row r="3" spans="1:74" s="8" customFormat="1" ht="12.65" customHeight="1">
      <c r="A3" s="6" t="s">
        <v>161</v>
      </c>
      <c r="B3" s="6"/>
      <c r="C3" s="6"/>
      <c r="D3" s="6"/>
      <c r="E3" s="7"/>
      <c r="F3" s="7"/>
      <c r="G3" s="7"/>
    </row>
    <row r="4" spans="1:74" s="1" customFormat="1" ht="7.5" customHeight="1">
      <c r="A4" s="9"/>
      <c r="B4" s="9"/>
      <c r="C4" s="9"/>
      <c r="D4" s="9"/>
    </row>
    <row r="5" spans="1:74" ht="12.65" customHeight="1">
      <c r="A5" s="5" t="s">
        <v>144</v>
      </c>
      <c r="B5" s="5"/>
      <c r="C5" s="5"/>
      <c r="D5" s="5"/>
      <c r="E5" s="5"/>
      <c r="F5" s="5"/>
      <c r="G5" s="5"/>
    </row>
    <row r="6" spans="1:74" ht="11.15" customHeight="1" thickBot="1">
      <c r="A6" s="3"/>
      <c r="B6" s="3"/>
      <c r="C6" s="3"/>
      <c r="D6" s="3"/>
    </row>
    <row r="7" spans="1:74" s="4" customFormat="1" ht="28.5" customHeight="1">
      <c r="A7" s="55" t="s">
        <v>85</v>
      </c>
      <c r="B7" s="70" t="s">
        <v>139</v>
      </c>
      <c r="C7" s="70" t="s">
        <v>136</v>
      </c>
      <c r="D7" s="70" t="s">
        <v>135</v>
      </c>
      <c r="E7" s="70" t="s">
        <v>141</v>
      </c>
      <c r="F7" s="70" t="s">
        <v>155</v>
      </c>
      <c r="G7" s="70" t="s">
        <v>156</v>
      </c>
      <c r="H7" s="59" t="s">
        <v>9</v>
      </c>
      <c r="I7" s="65"/>
      <c r="J7" s="65"/>
      <c r="K7" s="66"/>
      <c r="L7" s="59" t="s">
        <v>15</v>
      </c>
      <c r="M7" s="65"/>
      <c r="N7" s="65"/>
      <c r="O7" s="65"/>
      <c r="P7" s="66"/>
      <c r="Q7" s="59" t="s">
        <v>23</v>
      </c>
      <c r="R7" s="65"/>
      <c r="S7" s="66"/>
      <c r="T7" s="59" t="s">
        <v>29</v>
      </c>
      <c r="U7" s="60"/>
      <c r="V7" s="60"/>
      <c r="W7" s="60"/>
      <c r="X7" s="60"/>
      <c r="Y7" s="61"/>
      <c r="Z7" s="59" t="s">
        <v>35</v>
      </c>
      <c r="AA7" s="60"/>
      <c r="AB7" s="60"/>
      <c r="AC7" s="60"/>
      <c r="AD7" s="60"/>
      <c r="AE7" s="60"/>
      <c r="AF7" s="61"/>
      <c r="AG7" s="59" t="s">
        <v>45</v>
      </c>
      <c r="AH7" s="60"/>
      <c r="AI7" s="60"/>
      <c r="AJ7" s="60"/>
      <c r="AK7" s="61"/>
      <c r="AL7" s="59" t="s">
        <v>50</v>
      </c>
      <c r="AM7" s="60"/>
      <c r="AN7" s="60"/>
      <c r="AO7" s="60"/>
      <c r="AP7" s="61"/>
      <c r="AQ7" s="59" t="s">
        <v>56</v>
      </c>
      <c r="AR7" s="60"/>
      <c r="AS7" s="60"/>
      <c r="AT7" s="61"/>
      <c r="AU7" s="59" t="s">
        <v>60</v>
      </c>
      <c r="AV7" s="60"/>
      <c r="AW7" s="60"/>
      <c r="AX7" s="60"/>
      <c r="AY7" s="60"/>
      <c r="AZ7" s="60"/>
      <c r="BA7" s="60"/>
      <c r="BB7" s="60"/>
      <c r="BC7" s="61"/>
      <c r="BD7" s="59">
        <v>10</v>
      </c>
      <c r="BE7" s="60"/>
      <c r="BF7" s="60"/>
      <c r="BG7" s="60"/>
      <c r="BH7" s="60"/>
      <c r="BI7" s="61"/>
      <c r="BJ7" s="59">
        <v>11</v>
      </c>
      <c r="BK7" s="60"/>
      <c r="BL7" s="61"/>
      <c r="BM7" s="59">
        <v>12</v>
      </c>
      <c r="BN7" s="60"/>
      <c r="BO7" s="60"/>
      <c r="BP7" s="59">
        <v>13</v>
      </c>
      <c r="BQ7" s="60"/>
      <c r="BR7" s="60"/>
      <c r="BS7" s="60"/>
      <c r="BT7" s="61"/>
    </row>
    <row r="8" spans="1:74" s="4" customFormat="1" ht="28.5" customHeight="1" thickBot="1">
      <c r="A8" s="56"/>
      <c r="B8" s="71"/>
      <c r="C8" s="71"/>
      <c r="D8" s="71"/>
      <c r="E8" s="71"/>
      <c r="F8" s="71"/>
      <c r="G8" s="71"/>
      <c r="H8" s="67"/>
      <c r="I8" s="68"/>
      <c r="J8" s="68"/>
      <c r="K8" s="69"/>
      <c r="L8" s="67"/>
      <c r="M8" s="68"/>
      <c r="N8" s="68"/>
      <c r="O8" s="68"/>
      <c r="P8" s="69"/>
      <c r="Q8" s="67"/>
      <c r="R8" s="68"/>
      <c r="S8" s="69"/>
      <c r="T8" s="62"/>
      <c r="U8" s="63"/>
      <c r="V8" s="63"/>
      <c r="W8" s="63"/>
      <c r="X8" s="63"/>
      <c r="Y8" s="64"/>
      <c r="Z8" s="62"/>
      <c r="AA8" s="63"/>
      <c r="AB8" s="63"/>
      <c r="AC8" s="63"/>
      <c r="AD8" s="63"/>
      <c r="AE8" s="63"/>
      <c r="AF8" s="64"/>
      <c r="AG8" s="62"/>
      <c r="AH8" s="63"/>
      <c r="AI8" s="63"/>
      <c r="AJ8" s="63"/>
      <c r="AK8" s="64"/>
      <c r="AL8" s="62"/>
      <c r="AM8" s="63"/>
      <c r="AN8" s="63"/>
      <c r="AO8" s="63"/>
      <c r="AP8" s="64"/>
      <c r="AQ8" s="62"/>
      <c r="AR8" s="63"/>
      <c r="AS8" s="63"/>
      <c r="AT8" s="64"/>
      <c r="AU8" s="62"/>
      <c r="AV8" s="63"/>
      <c r="AW8" s="63"/>
      <c r="AX8" s="63"/>
      <c r="AY8" s="63"/>
      <c r="AZ8" s="63"/>
      <c r="BA8" s="63"/>
      <c r="BB8" s="63"/>
      <c r="BC8" s="64"/>
      <c r="BD8" s="62"/>
      <c r="BE8" s="63"/>
      <c r="BF8" s="63"/>
      <c r="BG8" s="63"/>
      <c r="BH8" s="63"/>
      <c r="BI8" s="64"/>
      <c r="BJ8" s="62"/>
      <c r="BK8" s="63"/>
      <c r="BL8" s="64"/>
      <c r="BM8" s="62"/>
      <c r="BN8" s="63"/>
      <c r="BO8" s="63"/>
      <c r="BP8" s="62"/>
      <c r="BQ8" s="63"/>
      <c r="BR8" s="63"/>
      <c r="BS8" s="63"/>
      <c r="BT8" s="64"/>
    </row>
    <row r="9" spans="1:74" s="4" customFormat="1" ht="28.5" customHeight="1">
      <c r="A9" s="72" t="s">
        <v>87</v>
      </c>
      <c r="B9" s="73" t="s">
        <v>140</v>
      </c>
      <c r="C9" s="73" t="s">
        <v>138</v>
      </c>
      <c r="D9" s="73" t="s">
        <v>137</v>
      </c>
      <c r="E9" s="73" t="s">
        <v>142</v>
      </c>
      <c r="F9" s="73" t="s">
        <v>157</v>
      </c>
      <c r="G9" s="73" t="s">
        <v>158</v>
      </c>
      <c r="H9" s="12"/>
      <c r="I9" s="55" t="s">
        <v>11</v>
      </c>
      <c r="J9" s="57" t="s">
        <v>13</v>
      </c>
      <c r="K9" s="57" t="s">
        <v>162</v>
      </c>
      <c r="L9" s="12"/>
      <c r="M9" s="55" t="s">
        <v>17</v>
      </c>
      <c r="N9" s="55" t="s">
        <v>19</v>
      </c>
      <c r="O9" s="57" t="s">
        <v>21</v>
      </c>
      <c r="P9" s="57" t="s">
        <v>164</v>
      </c>
      <c r="Q9" s="12"/>
      <c r="R9" s="55" t="s">
        <v>25</v>
      </c>
      <c r="S9" s="55" t="s">
        <v>27</v>
      </c>
      <c r="T9" s="12"/>
      <c r="U9" s="55" t="s">
        <v>30</v>
      </c>
      <c r="V9" s="55" t="s">
        <v>31</v>
      </c>
      <c r="W9" s="55" t="s">
        <v>32</v>
      </c>
      <c r="X9" s="55" t="s">
        <v>33</v>
      </c>
      <c r="Y9" s="55" t="s">
        <v>34</v>
      </c>
      <c r="Z9" s="12"/>
      <c r="AA9" s="55" t="s">
        <v>36</v>
      </c>
      <c r="AB9" s="55" t="s">
        <v>37</v>
      </c>
      <c r="AC9" s="55" t="s">
        <v>39</v>
      </c>
      <c r="AD9" s="55" t="s">
        <v>40</v>
      </c>
      <c r="AE9" s="55" t="s">
        <v>41</v>
      </c>
      <c r="AF9" s="55" t="s">
        <v>43</v>
      </c>
      <c r="AG9" s="12"/>
      <c r="AH9" s="55" t="s">
        <v>47</v>
      </c>
      <c r="AI9" s="55" t="s">
        <v>48</v>
      </c>
      <c r="AJ9" s="55" t="s">
        <v>49</v>
      </c>
      <c r="AK9" s="57" t="s">
        <v>169</v>
      </c>
      <c r="AL9" s="12"/>
      <c r="AM9" s="55" t="s">
        <v>52</v>
      </c>
      <c r="AN9" s="55" t="s">
        <v>54</v>
      </c>
      <c r="AO9" s="55" t="s">
        <v>55</v>
      </c>
      <c r="AP9" s="57" t="s">
        <v>173</v>
      </c>
      <c r="AQ9" s="12"/>
      <c r="AR9" s="55" t="s">
        <v>57</v>
      </c>
      <c r="AS9" s="55" t="s">
        <v>58</v>
      </c>
      <c r="AT9" s="55" t="s">
        <v>59</v>
      </c>
      <c r="AU9" s="12"/>
      <c r="AV9" s="55" t="s">
        <v>61</v>
      </c>
      <c r="AW9" s="55" t="s">
        <v>62</v>
      </c>
      <c r="AX9" s="55" t="s">
        <v>63</v>
      </c>
      <c r="AY9" s="55" t="s">
        <v>64</v>
      </c>
      <c r="AZ9" s="55" t="s">
        <v>65</v>
      </c>
      <c r="BA9" s="55" t="s">
        <v>67</v>
      </c>
      <c r="BB9" s="57" t="s">
        <v>181</v>
      </c>
      <c r="BC9" s="57" t="s">
        <v>182</v>
      </c>
      <c r="BD9" s="12"/>
      <c r="BE9" s="55" t="s">
        <v>69</v>
      </c>
      <c r="BF9" s="55" t="s">
        <v>70</v>
      </c>
      <c r="BG9" s="55" t="s">
        <v>71</v>
      </c>
      <c r="BH9" s="55" t="s">
        <v>73</v>
      </c>
      <c r="BI9" s="55" t="s">
        <v>75</v>
      </c>
      <c r="BJ9" s="12"/>
      <c r="BK9" s="55" t="s">
        <v>76</v>
      </c>
      <c r="BL9" s="55" t="s">
        <v>77</v>
      </c>
      <c r="BM9" s="12"/>
      <c r="BN9" s="55" t="s">
        <v>79</v>
      </c>
      <c r="BO9" s="55" t="s">
        <v>81</v>
      </c>
      <c r="BP9" s="12"/>
      <c r="BQ9" s="57" t="s">
        <v>187</v>
      </c>
      <c r="BR9" s="57" t="s">
        <v>188</v>
      </c>
      <c r="BS9" s="57" t="s">
        <v>189</v>
      </c>
      <c r="BT9" s="57" t="s">
        <v>190</v>
      </c>
    </row>
    <row r="10" spans="1:74" s="4" customFormat="1" ht="28.5" customHeight="1" thickBot="1">
      <c r="A10" s="72"/>
      <c r="B10" s="74"/>
      <c r="C10" s="74"/>
      <c r="D10" s="74"/>
      <c r="E10" s="74"/>
      <c r="F10" s="74"/>
      <c r="G10" s="74"/>
      <c r="H10" s="12"/>
      <c r="I10" s="56"/>
      <c r="J10" s="58"/>
      <c r="K10" s="58"/>
      <c r="L10" s="12"/>
      <c r="M10" s="56"/>
      <c r="N10" s="56"/>
      <c r="O10" s="58"/>
      <c r="P10" s="58"/>
      <c r="Q10" s="12"/>
      <c r="R10" s="56"/>
      <c r="S10" s="56"/>
      <c r="T10" s="12"/>
      <c r="U10" s="56"/>
      <c r="V10" s="56"/>
      <c r="W10" s="56"/>
      <c r="X10" s="56"/>
      <c r="Y10" s="56"/>
      <c r="Z10" s="12"/>
      <c r="AA10" s="56"/>
      <c r="AB10" s="56"/>
      <c r="AC10" s="56"/>
      <c r="AD10" s="56"/>
      <c r="AE10" s="56"/>
      <c r="AF10" s="56"/>
      <c r="AG10" s="12"/>
      <c r="AH10" s="56"/>
      <c r="AI10" s="56"/>
      <c r="AJ10" s="56"/>
      <c r="AK10" s="58"/>
      <c r="AL10" s="12"/>
      <c r="AM10" s="56"/>
      <c r="AN10" s="56"/>
      <c r="AO10" s="56"/>
      <c r="AP10" s="58"/>
      <c r="AQ10" s="12"/>
      <c r="AR10" s="56"/>
      <c r="AS10" s="56"/>
      <c r="AT10" s="56"/>
      <c r="AU10" s="12"/>
      <c r="AV10" s="56"/>
      <c r="AW10" s="56"/>
      <c r="AX10" s="56"/>
      <c r="AY10" s="56"/>
      <c r="AZ10" s="56"/>
      <c r="BA10" s="56"/>
      <c r="BB10" s="58"/>
      <c r="BC10" s="58"/>
      <c r="BD10" s="12"/>
      <c r="BE10" s="56"/>
      <c r="BF10" s="56"/>
      <c r="BG10" s="56"/>
      <c r="BH10" s="56"/>
      <c r="BI10" s="56"/>
      <c r="BJ10" s="12"/>
      <c r="BK10" s="56"/>
      <c r="BL10" s="56"/>
      <c r="BM10" s="12"/>
      <c r="BN10" s="56"/>
      <c r="BO10" s="56"/>
      <c r="BP10" s="12"/>
      <c r="BQ10" s="58"/>
      <c r="BR10" s="58"/>
      <c r="BS10" s="58"/>
      <c r="BT10" s="58"/>
    </row>
    <row r="11" spans="1:74" s="4" customFormat="1" ht="15" customHeight="1" thickBot="1">
      <c r="A11" s="29"/>
      <c r="B11" s="11" t="s">
        <v>83</v>
      </c>
      <c r="C11" s="11">
        <v>2</v>
      </c>
      <c r="D11" s="11">
        <v>3</v>
      </c>
      <c r="E11" s="11" t="s">
        <v>224</v>
      </c>
      <c r="F11" s="11">
        <v>5</v>
      </c>
      <c r="G11" s="11">
        <f>+F11+1</f>
        <v>6</v>
      </c>
      <c r="H11" s="11">
        <f t="shared" ref="H11:I11" si="0">+G11+1</f>
        <v>7</v>
      </c>
      <c r="I11" s="11">
        <f t="shared" si="0"/>
        <v>8</v>
      </c>
      <c r="J11" s="11">
        <f t="shared" ref="J11" si="1">+I11+1</f>
        <v>9</v>
      </c>
      <c r="K11" s="11">
        <f t="shared" ref="K11" si="2">+J11+1</f>
        <v>10</v>
      </c>
      <c r="L11" s="11">
        <f t="shared" ref="L11" si="3">+K11+1</f>
        <v>11</v>
      </c>
      <c r="M11" s="11">
        <f t="shared" ref="M11" si="4">+L11+1</f>
        <v>12</v>
      </c>
      <c r="N11" s="11">
        <f t="shared" ref="N11" si="5">+M11+1</f>
        <v>13</v>
      </c>
      <c r="O11" s="11">
        <f t="shared" ref="O11" si="6">+N11+1</f>
        <v>14</v>
      </c>
      <c r="P11" s="11">
        <f t="shared" ref="P11" si="7">+O11+1</f>
        <v>15</v>
      </c>
      <c r="Q11" s="11">
        <f t="shared" ref="Q11" si="8">+P11+1</f>
        <v>16</v>
      </c>
      <c r="R11" s="11">
        <f t="shared" ref="R11" si="9">+Q11+1</f>
        <v>17</v>
      </c>
      <c r="S11" s="11">
        <f t="shared" ref="S11" si="10">+R11+1</f>
        <v>18</v>
      </c>
      <c r="T11" s="11">
        <f t="shared" ref="T11" si="11">+S11+1</f>
        <v>19</v>
      </c>
      <c r="U11" s="11">
        <f t="shared" ref="U11" si="12">+T11+1</f>
        <v>20</v>
      </c>
      <c r="V11" s="11">
        <f t="shared" ref="V11" si="13">+U11+1</f>
        <v>21</v>
      </c>
      <c r="W11" s="11">
        <f t="shared" ref="W11" si="14">+V11+1</f>
        <v>22</v>
      </c>
      <c r="X11" s="11">
        <f t="shared" ref="X11" si="15">+W11+1</f>
        <v>23</v>
      </c>
      <c r="Y11" s="11">
        <f t="shared" ref="Y11" si="16">+X11+1</f>
        <v>24</v>
      </c>
      <c r="Z11" s="11">
        <f t="shared" ref="Z11" si="17">+Y11+1</f>
        <v>25</v>
      </c>
      <c r="AA11" s="11">
        <f t="shared" ref="AA11" si="18">+Z11+1</f>
        <v>26</v>
      </c>
      <c r="AB11" s="11">
        <f t="shared" ref="AB11" si="19">+AA11+1</f>
        <v>27</v>
      </c>
      <c r="AC11" s="11">
        <f t="shared" ref="AC11" si="20">+AB11+1</f>
        <v>28</v>
      </c>
      <c r="AD11" s="11">
        <f t="shared" ref="AD11" si="21">+AC11+1</f>
        <v>29</v>
      </c>
      <c r="AE11" s="11">
        <f t="shared" ref="AE11" si="22">+AD11+1</f>
        <v>30</v>
      </c>
      <c r="AF11" s="11">
        <f t="shared" ref="AF11" si="23">+AE11+1</f>
        <v>31</v>
      </c>
      <c r="AG11" s="11">
        <f t="shared" ref="AG11" si="24">+AF11+1</f>
        <v>32</v>
      </c>
      <c r="AH11" s="11">
        <f t="shared" ref="AH11" si="25">+AG11+1</f>
        <v>33</v>
      </c>
      <c r="AI11" s="11">
        <f t="shared" ref="AI11" si="26">+AH11+1</f>
        <v>34</v>
      </c>
      <c r="AJ11" s="11">
        <f t="shared" ref="AJ11" si="27">+AI11+1</f>
        <v>35</v>
      </c>
      <c r="AK11" s="11">
        <f t="shared" ref="AK11" si="28">+AJ11+1</f>
        <v>36</v>
      </c>
      <c r="AL11" s="11">
        <f t="shared" ref="AL11" si="29">+AK11+1</f>
        <v>37</v>
      </c>
      <c r="AM11" s="11">
        <f t="shared" ref="AM11" si="30">+AL11+1</f>
        <v>38</v>
      </c>
      <c r="AN11" s="11">
        <f t="shared" ref="AN11" si="31">+AM11+1</f>
        <v>39</v>
      </c>
      <c r="AO11" s="11">
        <f t="shared" ref="AO11" si="32">+AN11+1</f>
        <v>40</v>
      </c>
      <c r="AP11" s="11">
        <f t="shared" ref="AP11" si="33">+AO11+1</f>
        <v>41</v>
      </c>
      <c r="AQ11" s="11">
        <f t="shared" ref="AQ11" si="34">+AP11+1</f>
        <v>42</v>
      </c>
      <c r="AR11" s="11">
        <f t="shared" ref="AR11" si="35">+AQ11+1</f>
        <v>43</v>
      </c>
      <c r="AS11" s="11">
        <f t="shared" ref="AS11" si="36">+AR11+1</f>
        <v>44</v>
      </c>
      <c r="AT11" s="11">
        <f t="shared" ref="AT11" si="37">+AS11+1</f>
        <v>45</v>
      </c>
      <c r="AU11" s="11">
        <f t="shared" ref="AU11" si="38">+AT11+1</f>
        <v>46</v>
      </c>
      <c r="AV11" s="11">
        <f t="shared" ref="AV11" si="39">+AU11+1</f>
        <v>47</v>
      </c>
      <c r="AW11" s="11">
        <f t="shared" ref="AW11" si="40">+AV11+1</f>
        <v>48</v>
      </c>
      <c r="AX11" s="11">
        <f t="shared" ref="AX11" si="41">+AW11+1</f>
        <v>49</v>
      </c>
      <c r="AY11" s="11">
        <f t="shared" ref="AY11" si="42">+AX11+1</f>
        <v>50</v>
      </c>
      <c r="AZ11" s="11">
        <f t="shared" ref="AZ11" si="43">+AY11+1</f>
        <v>51</v>
      </c>
      <c r="BA11" s="11">
        <f t="shared" ref="BA11" si="44">+AZ11+1</f>
        <v>52</v>
      </c>
      <c r="BB11" s="11">
        <f t="shared" ref="BB11" si="45">+BA11+1</f>
        <v>53</v>
      </c>
      <c r="BC11" s="11">
        <f t="shared" ref="BC11" si="46">+BB11+1</f>
        <v>54</v>
      </c>
      <c r="BD11" s="11">
        <f t="shared" ref="BD11" si="47">+BC11+1</f>
        <v>55</v>
      </c>
      <c r="BE11" s="11">
        <f t="shared" ref="BE11" si="48">+BD11+1</f>
        <v>56</v>
      </c>
      <c r="BF11" s="11">
        <f t="shared" ref="BF11" si="49">+BE11+1</f>
        <v>57</v>
      </c>
      <c r="BG11" s="11">
        <f t="shared" ref="BG11" si="50">+BF11+1</f>
        <v>58</v>
      </c>
      <c r="BH11" s="11">
        <f t="shared" ref="BH11" si="51">+BG11+1</f>
        <v>59</v>
      </c>
      <c r="BI11" s="11">
        <f t="shared" ref="BI11" si="52">+BH11+1</f>
        <v>60</v>
      </c>
      <c r="BJ11" s="11">
        <f t="shared" ref="BJ11" si="53">+BI11+1</f>
        <v>61</v>
      </c>
      <c r="BK11" s="11">
        <f t="shared" ref="BK11" si="54">+BJ11+1</f>
        <v>62</v>
      </c>
      <c r="BL11" s="11">
        <f t="shared" ref="BL11" si="55">+BK11+1</f>
        <v>63</v>
      </c>
      <c r="BM11" s="11">
        <f t="shared" ref="BM11" si="56">+BL11+1</f>
        <v>64</v>
      </c>
      <c r="BN11" s="11">
        <f t="shared" ref="BN11" si="57">+BM11+1</f>
        <v>65</v>
      </c>
      <c r="BO11" s="11">
        <f t="shared" ref="BO11" si="58">+BN11+1</f>
        <v>66</v>
      </c>
      <c r="BP11" s="11">
        <f t="shared" ref="BP11" si="59">+BO11+1</f>
        <v>67</v>
      </c>
      <c r="BQ11" s="11">
        <f t="shared" ref="BQ11" si="60">+BP11+1</f>
        <v>68</v>
      </c>
      <c r="BR11" s="11">
        <f t="shared" ref="BR11" si="61">+BQ11+1</f>
        <v>69</v>
      </c>
      <c r="BS11" s="11">
        <f t="shared" ref="BS11" si="62">+BR11+1</f>
        <v>70</v>
      </c>
      <c r="BT11" s="11">
        <f t="shared" ref="BT11" si="63">+BS11+1</f>
        <v>71</v>
      </c>
    </row>
    <row r="12" spans="1:74" s="4" customFormat="1" ht="15" customHeight="1">
      <c r="A12" s="10">
        <v>1995</v>
      </c>
      <c r="B12" s="33">
        <f>C12-D12+E12</f>
        <v>56195.322</v>
      </c>
      <c r="C12" s="31">
        <f>ROUND([1]QRE95!$M$44/1000,3)</f>
        <v>1311.1869999999999</v>
      </c>
      <c r="D12" s="30">
        <f>(ROUND([1]QRE95!$M$43/1000,3))*-1</f>
        <v>3292.7539999999999</v>
      </c>
      <c r="E12" s="33">
        <f>+H12+L12+Q12+T12+Z12+AG12+AL12+AQ12+AU12+BD12+BJ12+BM12+BP12</f>
        <v>58176.889000000003</v>
      </c>
      <c r="F12" s="39">
        <f>[2]Durabilidade_PC!$F$6+[2]Durabilidade_PC!$F$7</f>
        <v>6471.8389999999999</v>
      </c>
      <c r="G12" s="39">
        <f>[2]Durabilidade_PC!$F$8+[2]Durabilidade_PC!$F$9</f>
        <v>51705.049999999988</v>
      </c>
      <c r="H12" s="30">
        <f t="shared" ref="H12:H28" si="64">I12+J12+K12</f>
        <v>10732.556999999999</v>
      </c>
      <c r="I12" s="30">
        <f>VLOOKUP(I$9,[2]PC!$C$133:$T$184,4,FALSE)</f>
        <v>10057.084999999999</v>
      </c>
      <c r="J12" s="30">
        <f>VLOOKUP(J$9,[2]PC!$C$133:$T$184,4,FALSE)</f>
        <v>675.47199999999998</v>
      </c>
      <c r="K12" s="30">
        <f>VLOOKUP(K$9,[2]PC!$C$133:$T$184,4,FALSE)</f>
        <v>0</v>
      </c>
      <c r="L12" s="33">
        <f t="shared" ref="L12:L29" si="65">M12+N12+O12+P12</f>
        <v>2087.817</v>
      </c>
      <c r="M12" s="30">
        <f>VLOOKUP(M$9,[2]PC!$C$133:$T$184,4,FALSE)</f>
        <v>914.27800000000002</v>
      </c>
      <c r="N12" s="30">
        <f>VLOOKUP(N$9,[2]PC!$C$133:$T$184,4,FALSE)</f>
        <v>0</v>
      </c>
      <c r="O12" s="30">
        <f>VLOOKUP(O$9,[2]PC!$C$133:$T$184,4,FALSE)</f>
        <v>1120.7329999999999</v>
      </c>
      <c r="P12" s="30">
        <f>VLOOKUP(P$9,[2]PC!$C$133:$T$184,4,FALSE)</f>
        <v>52.805999999999997</v>
      </c>
      <c r="Q12" s="33">
        <f t="shared" ref="Q12:Q29" si="66">R12+S12</f>
        <v>4073.3209999999999</v>
      </c>
      <c r="R12" s="30">
        <f>VLOOKUP(R$9,[2]PC!$C$133:$T$184,4,FALSE)</f>
        <v>3353.1309999999999</v>
      </c>
      <c r="S12" s="30">
        <f>VLOOKUP(S$9,[2]PC!$C$133:$T$184,4,FALSE)</f>
        <v>720.19</v>
      </c>
      <c r="T12" s="33">
        <f t="shared" ref="T12:T29" si="67">U12+V12+W12+X12+Y12</f>
        <v>7604.0918071451069</v>
      </c>
      <c r="U12" s="30">
        <f>VLOOKUP(U$9,[2]PC!$C$133:$T$184,4,FALSE)</f>
        <v>1475.1569999999999</v>
      </c>
      <c r="V12" s="30">
        <f>VLOOKUP(V$9,[2]PC!$C$133:$T$184,4,FALSE)</f>
        <v>4020.761</v>
      </c>
      <c r="W12" s="30">
        <f>VLOOKUP(W$9,[2]PC!$C$133:$T$184,4,FALSE)</f>
        <v>246.09520584839257</v>
      </c>
      <c r="X12" s="30">
        <f>VLOOKUP(X$9,[2]PC!$C$133:$T$184,4,FALSE)</f>
        <v>310.72860129671551</v>
      </c>
      <c r="Y12" s="30">
        <f>VLOOKUP(Y$9,[2]PC!$C$133:$T$184,4,FALSE)</f>
        <v>1551.3499999999997</v>
      </c>
      <c r="Z12" s="33">
        <f t="shared" ref="Z12:Z29" si="68">AA12+AB12+AC12+AD12+AE12+AF12</f>
        <v>3676.9581928548923</v>
      </c>
      <c r="AA12" s="30">
        <f>VLOOKUP(AA$9,[2]PC!$C$133:$T$184,4,FALSE)</f>
        <v>1002.3819726075515</v>
      </c>
      <c r="AB12" s="30">
        <f>VLOOKUP(AB$9,[2]PC!$C$133:$T$184,4,FALSE)</f>
        <v>306.28399999999999</v>
      </c>
      <c r="AC12" s="30">
        <f>VLOOKUP(AC$9,[2]PC!$C$133:$T$184,4,FALSE)</f>
        <v>739.69253273377285</v>
      </c>
      <c r="AD12" s="30">
        <f>VLOOKUP(AD$9,[2]PC!$C$133:$T$184,4,FALSE)</f>
        <v>599.89946726622725</v>
      </c>
      <c r="AE12" s="30">
        <f>VLOOKUP(AE$9,[2]PC!$C$133:$T$184,4,FALSE)</f>
        <v>78.22722024734064</v>
      </c>
      <c r="AF12" s="30">
        <f>VLOOKUP(AF$9,[2]PC!$C$133:$T$184,4,FALSE)</f>
        <v>950.47299999999973</v>
      </c>
      <c r="AG12" s="33">
        <f t="shared" ref="AG12:AG29" si="69">AH12+AI12+AJ12+AK12</f>
        <v>2617.1080000000002</v>
      </c>
      <c r="AH12" s="30">
        <f>VLOOKUP(AH$9,[2]PC!$C$133:$T$184,4,FALSE)</f>
        <v>699.07896391268832</v>
      </c>
      <c r="AI12" s="30">
        <f>VLOOKUP(AI$9,[2]PC!$C$133:$T$184,4,FALSE)</f>
        <v>1789.8031860873118</v>
      </c>
      <c r="AJ12" s="30">
        <f>VLOOKUP(AJ$9,[2]PC!$C$133:$T$184,4,FALSE)</f>
        <v>35.207000000000001</v>
      </c>
      <c r="AK12" s="30">
        <f>VLOOKUP(AK$9,[2]PC!$C$133:$T$184,4,FALSE)</f>
        <v>93.01885</v>
      </c>
      <c r="AL12" s="33">
        <f t="shared" ref="AL12:AL29" si="70">AM12+AN12+AO12+AP12</f>
        <v>8878.0939999999991</v>
      </c>
      <c r="AM12" s="30">
        <f>VLOOKUP(AM$9,[2]PC!$C$133:$T$184,4,FALSE)</f>
        <v>3581.9250000000002</v>
      </c>
      <c r="AN12" s="30">
        <f>VLOOKUP(AN$9,[2]PC!$C$133:$T$184,4,FALSE)</f>
        <v>4301.5640000000003</v>
      </c>
      <c r="AO12" s="30">
        <f>VLOOKUP(AO$9,[2]PC!$C$133:$T$184,4,FALSE)</f>
        <v>861.16541731354118</v>
      </c>
      <c r="AP12" s="30">
        <f>VLOOKUP(AP$9,[2]PC!$C$133:$T$184,4,FALSE)</f>
        <v>133.43958268645872</v>
      </c>
      <c r="AQ12" s="33">
        <f t="shared" ref="AQ12:AQ29" si="71">AR12+AS12+AT12</f>
        <v>1851.8257982939826</v>
      </c>
      <c r="AR12" s="30">
        <f>VLOOKUP(AR$9,[2]PC!$C$133:$T$184,4,FALSE)</f>
        <v>494.99199999999996</v>
      </c>
      <c r="AS12" s="30">
        <f>VLOOKUP(AS$9,[2]PC!$C$133:$T$184,4,FALSE)</f>
        <v>2.6857003715359786</v>
      </c>
      <c r="AT12" s="30">
        <f>VLOOKUP(AT$9,[2]PC!$C$133:$T$184,4,FALSE)</f>
        <v>1354.1480979224466</v>
      </c>
      <c r="AU12" s="33">
        <f t="shared" ref="AU12:AU29" si="72">AV12+AW12+AX12+AY12+AZ12+BA12+BB12+BC12</f>
        <v>3689.8302017060173</v>
      </c>
      <c r="AV12" s="30">
        <f>VLOOKUP(AV$9,[2]PC!$C$133:$T$184,4,FALSE)</f>
        <v>504.7063233476635</v>
      </c>
      <c r="AW12" s="30">
        <f>VLOOKUP(AW$9,[2]PC!$C$133:$T$184,4,FALSE)</f>
        <v>296.3243433485751</v>
      </c>
      <c r="AX12" s="30">
        <f>VLOOKUP(AX$9,[2]PC!$C$133:$T$184,4,FALSE)</f>
        <v>509.89137221656188</v>
      </c>
      <c r="AY12" s="30">
        <f>VLOOKUP(AY$9,[2]PC!$C$133:$T$184,4,FALSE)</f>
        <v>669.64309710642704</v>
      </c>
      <c r="AZ12" s="30">
        <f>VLOOKUP(AZ$9,[2]PC!$C$133:$T$184,4,FALSE)</f>
        <v>23.283976280800324</v>
      </c>
      <c r="BA12" s="30">
        <f>VLOOKUP(BA$9,[2]PC!$C$133:$T$184,4,FALSE)</f>
        <v>515.52008940598978</v>
      </c>
      <c r="BB12" s="30">
        <f>VLOOKUP(BB$9,[2]PC!$C$133:$T$184,4,FALSE)</f>
        <v>853.81200000000001</v>
      </c>
      <c r="BC12" s="30">
        <f>VLOOKUP(BC$9,[2]PC!$C$133:$T$184,4,FALSE)</f>
        <v>316.649</v>
      </c>
      <c r="BD12" s="33">
        <f t="shared" ref="BD12:BD29" si="73">BE12+BF12+BG12+BH12+BI12</f>
        <v>798.77099999999996</v>
      </c>
      <c r="BE12" s="30">
        <f>VLOOKUP(BE$9,[2]PC!$C$133:$T$184,4,FALSE)</f>
        <v>160.62700000000001</v>
      </c>
      <c r="BF12" s="30">
        <f>VLOOKUP(BF$9,[2]PC!$C$133:$T$184,4,FALSE)</f>
        <v>98.888000000000005</v>
      </c>
      <c r="BG12" s="30">
        <f>VLOOKUP(BG$9,[2]PC!$C$133:$T$184,4,FALSE)</f>
        <v>8.6980000000000004</v>
      </c>
      <c r="BH12" s="30">
        <f>VLOOKUP(BH$9,[2]PC!$C$133:$T$184,4,FALSE)</f>
        <v>313.58500000000004</v>
      </c>
      <c r="BI12" s="30">
        <f>VLOOKUP(BI$9,[2]PC!$C$133:$T$184,4,FALSE)</f>
        <v>216.9729999999999</v>
      </c>
      <c r="BJ12" s="33">
        <f t="shared" ref="BJ12:BJ29" si="74">BK12+BL12</f>
        <v>6163.8209999999999</v>
      </c>
      <c r="BK12" s="30">
        <f>VLOOKUP(BK$9,[2]PC!$C$133:$T$184,4,FALSE)</f>
        <v>4708.4669999999996</v>
      </c>
      <c r="BL12" s="30">
        <f>VLOOKUP(BL$9,[2]PC!$C$133:$T$184,4,FALSE)</f>
        <v>1455.354</v>
      </c>
      <c r="BM12" s="33">
        <f t="shared" ref="BM12:BM29" si="75">BN12+BO12</f>
        <v>2145.09</v>
      </c>
      <c r="BN12" s="30">
        <f>VLOOKUP(BN$9,[2]PC!$C$133:$T$184,4,FALSE)</f>
        <v>727.79700000000003</v>
      </c>
      <c r="BO12" s="30">
        <f>VLOOKUP(BO$9,[2]PC!$C$133:$T$184,4,FALSE)</f>
        <v>1417.2929999999999</v>
      </c>
      <c r="BP12" s="49">
        <f t="shared" ref="BP12:BP29" si="76">BQ12+BR12+BS12+BT12</f>
        <v>3857.6040000000003</v>
      </c>
      <c r="BQ12" s="30">
        <f>VLOOKUP(BQ$9,[2]PC!$C$133:$T$184,4,FALSE)</f>
        <v>982.21900000000005</v>
      </c>
      <c r="BR12" s="30">
        <f>VLOOKUP(BR$9,[2]PC!$C$133:$T$184,4,FALSE)</f>
        <v>434.17500000000001</v>
      </c>
      <c r="BS12" s="30">
        <f>VLOOKUP(BS$9,[2]PC!$C$133:$T$184,4,FALSE)</f>
        <v>862.76900000000001</v>
      </c>
      <c r="BT12" s="30">
        <f>VLOOKUP(BT$9,[2]PC!$C$133:$T$184,4,FALSE)</f>
        <v>1578.441</v>
      </c>
      <c r="BU12" s="52"/>
      <c r="BV12" s="52"/>
    </row>
    <row r="13" spans="1:74" s="4" customFormat="1" ht="15" customHeight="1">
      <c r="A13" s="10">
        <v>1996</v>
      </c>
      <c r="B13" s="33">
        <f t="shared" ref="B13:B28" si="77">C13-D13+E13</f>
        <v>59790.670000000006</v>
      </c>
      <c r="C13" s="31">
        <f>ROUND([1]QRE96!$M$44/1000,3)</f>
        <v>1449.692</v>
      </c>
      <c r="D13" s="30">
        <f>(ROUND([1]QRE96!$M$43/1000,3))*-1</f>
        <v>3345.8049999999998</v>
      </c>
      <c r="E13" s="33">
        <f t="shared" ref="E13:E39" si="78">+H13+L13+Q13+T13+Z13+AG13+AL13+AQ13+AU13+BD13+BJ13+BM13+BP13</f>
        <v>61686.783000000003</v>
      </c>
      <c r="F13" s="39">
        <f>[2]Durabilidade_PC!$G$6+[2]Durabilidade_PC!$G$7</f>
        <v>7167.7309999999998</v>
      </c>
      <c r="G13" s="39">
        <f>[2]Durabilidade_PC!$G$8+[2]Durabilidade_PC!$G$9</f>
        <v>54519.051999999974</v>
      </c>
      <c r="H13" s="30">
        <f t="shared" si="64"/>
        <v>11220.128999999999</v>
      </c>
      <c r="I13" s="30">
        <f>VLOOKUP(I$9,[2]PC!$C$133:$T$184,5,FALSE)</f>
        <v>10519.49</v>
      </c>
      <c r="J13" s="30">
        <f>VLOOKUP(J$9,[2]PC!$C$133:$T$184,5,FALSE)</f>
        <v>700.63900000000001</v>
      </c>
      <c r="K13" s="30">
        <f>VLOOKUP(K$9,[2]PC!$C$133:$T$184,5,FALSE)</f>
        <v>0</v>
      </c>
      <c r="L13" s="33">
        <f t="shared" si="65"/>
        <v>2210.5549999999998</v>
      </c>
      <c r="M13" s="30">
        <f>VLOOKUP(M$9,[2]PC!$C$133:$T$184,5,FALSE)</f>
        <v>954.39</v>
      </c>
      <c r="N13" s="30">
        <f>VLOOKUP(N$9,[2]PC!$C$133:$T$184,5,FALSE)</f>
        <v>0</v>
      </c>
      <c r="O13" s="30">
        <f>VLOOKUP(O$9,[2]PC!$C$133:$T$184,5,FALSE)</f>
        <v>1200.127</v>
      </c>
      <c r="P13" s="30">
        <f>VLOOKUP(P$9,[2]PC!$C$133:$T$184,5,FALSE)</f>
        <v>56.037999999999997</v>
      </c>
      <c r="Q13" s="33">
        <f t="shared" si="66"/>
        <v>4236.5649999999996</v>
      </c>
      <c r="R13" s="30">
        <f>VLOOKUP(R$9,[2]PC!$C$133:$T$184,5,FALSE)</f>
        <v>3482.0379999999996</v>
      </c>
      <c r="S13" s="30">
        <f>VLOOKUP(S$9,[2]PC!$C$133:$T$184,5,FALSE)</f>
        <v>754.52700000000004</v>
      </c>
      <c r="T13" s="33">
        <f t="shared" si="67"/>
        <v>8079.3608725940303</v>
      </c>
      <c r="U13" s="30">
        <f>VLOOKUP(U$9,[2]PC!$C$133:$T$184,5,FALSE)</f>
        <v>1566.2340000000002</v>
      </c>
      <c r="V13" s="30">
        <f>VLOOKUP(V$9,[2]PC!$C$133:$T$184,5,FALSE)</f>
        <v>4269.0039999999999</v>
      </c>
      <c r="W13" s="30">
        <f>VLOOKUP(W$9,[2]PC!$C$133:$T$184,5,FALSE)</f>
        <v>253.34124838285385</v>
      </c>
      <c r="X13" s="30">
        <f>VLOOKUP(X$9,[2]PC!$C$133:$T$184,5,FALSE)</f>
        <v>339.48162421117553</v>
      </c>
      <c r="Y13" s="30">
        <f>VLOOKUP(Y$9,[2]PC!$C$133:$T$184,5,FALSE)</f>
        <v>1651.3000000000002</v>
      </c>
      <c r="Z13" s="33">
        <f t="shared" si="68"/>
        <v>4052.5871274059705</v>
      </c>
      <c r="AA13" s="30">
        <f>VLOOKUP(AA$9,[2]PC!$C$133:$T$184,5,FALSE)</f>
        <v>1150.6114674431806</v>
      </c>
      <c r="AB13" s="30">
        <f>VLOOKUP(AB$9,[2]PC!$C$133:$T$184,5,FALSE)</f>
        <v>354.79</v>
      </c>
      <c r="AC13" s="30">
        <f>VLOOKUP(AC$9,[2]PC!$C$133:$T$184,5,FALSE)</f>
        <v>809.43984093594372</v>
      </c>
      <c r="AD13" s="30">
        <f>VLOOKUP(AD$9,[2]PC!$C$133:$T$184,5,FALSE)</f>
        <v>606.71915906405638</v>
      </c>
      <c r="AE13" s="30">
        <f>VLOOKUP(AE$9,[2]PC!$C$133:$T$184,5,FALSE)</f>
        <v>75.940659962790207</v>
      </c>
      <c r="AF13" s="30">
        <f>VLOOKUP(AF$9,[2]PC!$C$133:$T$184,5,FALSE)</f>
        <v>1055.0859999999998</v>
      </c>
      <c r="AG13" s="33">
        <f t="shared" si="69"/>
        <v>2709.4660000000003</v>
      </c>
      <c r="AH13" s="30">
        <f>VLOOKUP(AH$9,[2]PC!$C$133:$T$184,5,FALSE)</f>
        <v>813.58457996028903</v>
      </c>
      <c r="AI13" s="30">
        <f>VLOOKUP(AI$9,[2]PC!$C$133:$T$184,5,FALSE)</f>
        <v>1768.485070039711</v>
      </c>
      <c r="AJ13" s="30">
        <f>VLOOKUP(AJ$9,[2]PC!$C$133:$T$184,5,FALSE)</f>
        <v>35.692999999999998</v>
      </c>
      <c r="AK13" s="30">
        <f>VLOOKUP(AK$9,[2]PC!$C$133:$T$184,5,FALSE)</f>
        <v>91.70335</v>
      </c>
      <c r="AL13" s="33">
        <f t="shared" si="70"/>
        <v>9579.387999999999</v>
      </c>
      <c r="AM13" s="30">
        <f>VLOOKUP(AM$9,[2]PC!$C$133:$T$184,5,FALSE)</f>
        <v>3927.7779999999998</v>
      </c>
      <c r="AN13" s="30">
        <f>VLOOKUP(AN$9,[2]PC!$C$133:$T$184,5,FALSE)</f>
        <v>4620.6719999999996</v>
      </c>
      <c r="AO13" s="30">
        <f>VLOOKUP(AO$9,[2]PC!$C$133:$T$184,5,FALSE)</f>
        <v>897.97552542640574</v>
      </c>
      <c r="AP13" s="30">
        <f>VLOOKUP(AP$9,[2]PC!$C$133:$T$184,5,FALSE)</f>
        <v>132.96247457359422</v>
      </c>
      <c r="AQ13" s="33">
        <f t="shared" si="71"/>
        <v>2017.3222622197948</v>
      </c>
      <c r="AR13" s="30">
        <f>VLOOKUP(AR$9,[2]PC!$C$133:$T$184,5,FALSE)</f>
        <v>544.54349999999999</v>
      </c>
      <c r="AS13" s="30">
        <f>VLOOKUP(AS$9,[2]PC!$C$133:$T$184,5,FALSE)</f>
        <v>2.9552729684399108</v>
      </c>
      <c r="AT13" s="30">
        <f>VLOOKUP(AT$9,[2]PC!$C$133:$T$184,5,FALSE)</f>
        <v>1469.8234892513549</v>
      </c>
      <c r="AU13" s="33">
        <f t="shared" si="72"/>
        <v>3961.4857377802055</v>
      </c>
      <c r="AV13" s="30">
        <f>VLOOKUP(AV$9,[2]PC!$C$133:$T$184,5,FALSE)</f>
        <v>556.3052732705878</v>
      </c>
      <c r="AW13" s="30">
        <f>VLOOKUP(AW$9,[2]PC!$C$133:$T$184,5,FALSE)</f>
        <v>307.7162754524569</v>
      </c>
      <c r="AX13" s="30">
        <f>VLOOKUP(AX$9,[2]PC!$C$133:$T$184,5,FALSE)</f>
        <v>529.49370332107492</v>
      </c>
      <c r="AY13" s="30">
        <f>VLOOKUP(AY$9,[2]PC!$C$133:$T$184,5,FALSE)</f>
        <v>711.36000339258703</v>
      </c>
      <c r="AZ13" s="30">
        <f>VLOOKUP(AZ$9,[2]PC!$C$133:$T$184,5,FALSE)</f>
        <v>26.786953760972089</v>
      </c>
      <c r="BA13" s="30">
        <f>VLOOKUP(BA$9,[2]PC!$C$133:$T$184,5,FALSE)</f>
        <v>549.4585285825267</v>
      </c>
      <c r="BB13" s="30">
        <f>VLOOKUP(BB$9,[2]PC!$C$133:$T$184,5,FALSE)</f>
        <v>948.82299999999998</v>
      </c>
      <c r="BC13" s="30">
        <f>VLOOKUP(BC$9,[2]PC!$C$133:$T$184,5,FALSE)</f>
        <v>331.54199999999997</v>
      </c>
      <c r="BD13" s="33">
        <f t="shared" si="73"/>
        <v>816.8649999999999</v>
      </c>
      <c r="BE13" s="30">
        <f>VLOOKUP(BE$9,[2]PC!$C$133:$T$184,5,FALSE)</f>
        <v>167.297</v>
      </c>
      <c r="BF13" s="30">
        <f>VLOOKUP(BF$9,[2]PC!$C$133:$T$184,5,FALSE)</f>
        <v>102.941</v>
      </c>
      <c r="BG13" s="30">
        <f>VLOOKUP(BG$9,[2]PC!$C$133:$T$184,5,FALSE)</f>
        <v>8.8940000000000001</v>
      </c>
      <c r="BH13" s="30">
        <f>VLOOKUP(BH$9,[2]PC!$C$133:$T$184,5,FALSE)</f>
        <v>312.20600000000002</v>
      </c>
      <c r="BI13" s="30">
        <f>VLOOKUP(BI$9,[2]PC!$C$133:$T$184,5,FALSE)</f>
        <v>225.52699999999996</v>
      </c>
      <c r="BJ13" s="33">
        <f t="shared" si="74"/>
        <v>6508.0210000000006</v>
      </c>
      <c r="BK13" s="30">
        <f>VLOOKUP(BK$9,[2]PC!$C$133:$T$184,5,FALSE)</f>
        <v>4982.1580000000004</v>
      </c>
      <c r="BL13" s="30">
        <f>VLOOKUP(BL$9,[2]PC!$C$133:$T$184,5,FALSE)</f>
        <v>1525.8630000000001</v>
      </c>
      <c r="BM13" s="33">
        <f t="shared" si="75"/>
        <v>2297.8180000000002</v>
      </c>
      <c r="BN13" s="30">
        <f>VLOOKUP(BN$9,[2]PC!$C$133:$T$184,5,FALSE)</f>
        <v>721.43100000000004</v>
      </c>
      <c r="BO13" s="30">
        <f>VLOOKUP(BO$9,[2]PC!$C$133:$T$184,5,FALSE)</f>
        <v>1576.3869999999999</v>
      </c>
      <c r="BP13" s="49">
        <f t="shared" si="76"/>
        <v>3997.2199999999989</v>
      </c>
      <c r="BQ13" s="30">
        <f>VLOOKUP(BQ$9,[2]PC!$C$133:$T$184,5,FALSE)</f>
        <v>962.62399999999866</v>
      </c>
      <c r="BR13" s="30">
        <f>VLOOKUP(BR$9,[2]PC!$C$133:$T$184,5,FALSE)</f>
        <v>525.55600000000004</v>
      </c>
      <c r="BS13" s="30">
        <f>VLOOKUP(BS$9,[2]PC!$C$133:$T$184,5,FALSE)</f>
        <v>903.28700000000003</v>
      </c>
      <c r="BT13" s="30">
        <f>VLOOKUP(BT$9,[2]PC!$C$133:$T$184,5,FALSE)</f>
        <v>1605.7530000000002</v>
      </c>
      <c r="BU13" s="52"/>
      <c r="BV13" s="52"/>
    </row>
    <row r="14" spans="1:74" s="4" customFormat="1" ht="15" customHeight="1">
      <c r="A14" s="10">
        <v>1997</v>
      </c>
      <c r="B14" s="33">
        <f t="shared" si="77"/>
        <v>63747.103000000017</v>
      </c>
      <c r="C14" s="31">
        <f>ROUND([1]QRE97!$M$44/1000,3)</f>
        <v>1479.499</v>
      </c>
      <c r="D14" s="30">
        <f>(ROUND([1]QRE97!$M$43/1000,3))*-1</f>
        <v>3686.9920000000002</v>
      </c>
      <c r="E14" s="33">
        <f t="shared" si="78"/>
        <v>65954.59600000002</v>
      </c>
      <c r="F14" s="39">
        <f>[2]Durabilidade_PC!$H$6+[2]Durabilidade_PC!$H$7</f>
        <v>7849.8339999999998</v>
      </c>
      <c r="G14" s="39">
        <f>[2]Durabilidade_PC!$H$8+[2]Durabilidade_PC!$H$9</f>
        <v>58104.762000000002</v>
      </c>
      <c r="H14" s="30">
        <f t="shared" si="64"/>
        <v>11528.535000000002</v>
      </c>
      <c r="I14" s="30">
        <f>VLOOKUP(I$9,[2]PC!$C$133:$T$184,6,FALSE)</f>
        <v>10814.308000000001</v>
      </c>
      <c r="J14" s="30">
        <f>VLOOKUP(J$9,[2]PC!$C$133:$T$184,6,FALSE)</f>
        <v>714.22699999999998</v>
      </c>
      <c r="K14" s="30">
        <f>VLOOKUP(K$9,[2]PC!$C$133:$T$184,6,FALSE)</f>
        <v>0</v>
      </c>
      <c r="L14" s="33">
        <f t="shared" si="65"/>
        <v>2350.3249999999994</v>
      </c>
      <c r="M14" s="30">
        <f>VLOOKUP(M$9,[2]PC!$C$133:$T$184,6,FALSE)</f>
        <v>999.92100000000005</v>
      </c>
      <c r="N14" s="30">
        <f>VLOOKUP(N$9,[2]PC!$C$133:$T$184,6,FALSE)</f>
        <v>0</v>
      </c>
      <c r="O14" s="30">
        <f>VLOOKUP(O$9,[2]PC!$C$133:$T$184,6,FALSE)</f>
        <v>1289.5989999999997</v>
      </c>
      <c r="P14" s="30">
        <f>VLOOKUP(P$9,[2]PC!$C$133:$T$184,6,FALSE)</f>
        <v>60.805</v>
      </c>
      <c r="Q14" s="33">
        <f t="shared" si="66"/>
        <v>4505.4489999999996</v>
      </c>
      <c r="R14" s="30">
        <f>VLOOKUP(R$9,[2]PC!$C$133:$T$184,6,FALSE)</f>
        <v>3697.5199999999995</v>
      </c>
      <c r="S14" s="30">
        <f>VLOOKUP(S$9,[2]PC!$C$133:$T$184,6,FALSE)</f>
        <v>807.92899999999997</v>
      </c>
      <c r="T14" s="33">
        <f t="shared" si="67"/>
        <v>8505.0608771703046</v>
      </c>
      <c r="U14" s="30">
        <f>VLOOKUP(U$9,[2]PC!$C$133:$T$184,6,FALSE)</f>
        <v>1645.8209999999999</v>
      </c>
      <c r="V14" s="30">
        <f>VLOOKUP(V$9,[2]PC!$C$133:$T$184,6,FALSE)</f>
        <v>4485.9290000000001</v>
      </c>
      <c r="W14" s="30">
        <f>VLOOKUP(W$9,[2]PC!$C$133:$T$184,6,FALSE)</f>
        <v>256.57770727755246</v>
      </c>
      <c r="X14" s="30">
        <f>VLOOKUP(X$9,[2]PC!$C$133:$T$184,6,FALSE)</f>
        <v>366.46416989275201</v>
      </c>
      <c r="Y14" s="30">
        <f>VLOOKUP(Y$9,[2]PC!$C$133:$T$184,6,FALSE)</f>
        <v>1750.2690000000002</v>
      </c>
      <c r="Z14" s="33">
        <f t="shared" si="68"/>
        <v>4342.2861228296952</v>
      </c>
      <c r="AA14" s="30">
        <f>VLOOKUP(AA$9,[2]PC!$C$133:$T$184,6,FALSE)</f>
        <v>1281.6128420259788</v>
      </c>
      <c r="AB14" s="30">
        <f>VLOOKUP(AB$9,[2]PC!$C$133:$T$184,6,FALSE)</f>
        <v>398.46800000000002</v>
      </c>
      <c r="AC14" s="30">
        <f>VLOOKUP(AC$9,[2]PC!$C$133:$T$184,6,FALSE)</f>
        <v>861.09615010107063</v>
      </c>
      <c r="AD14" s="30">
        <f>VLOOKUP(AD$9,[2]PC!$C$133:$T$184,6,FALSE)</f>
        <v>592.11884989892951</v>
      </c>
      <c r="AE14" s="30">
        <f>VLOOKUP(AE$9,[2]PC!$C$133:$T$184,6,FALSE)</f>
        <v>70.430280803716798</v>
      </c>
      <c r="AF14" s="30">
        <f>VLOOKUP(AF$9,[2]PC!$C$133:$T$184,6,FALSE)</f>
        <v>1138.5599999999995</v>
      </c>
      <c r="AG14" s="33">
        <f t="shared" si="69"/>
        <v>2901.1889999999994</v>
      </c>
      <c r="AH14" s="30">
        <f>VLOOKUP(AH$9,[2]PC!$C$133:$T$184,6,FALSE)</f>
        <v>967.67719284728082</v>
      </c>
      <c r="AI14" s="30">
        <f>VLOOKUP(AI$9,[2]PC!$C$133:$T$184,6,FALSE)</f>
        <v>1765.7621571527188</v>
      </c>
      <c r="AJ14" s="30">
        <f>VLOOKUP(AJ$9,[2]PC!$C$133:$T$184,6,FALSE)</f>
        <v>76.45</v>
      </c>
      <c r="AK14" s="30">
        <f>VLOOKUP(AK$9,[2]PC!$C$133:$T$184,6,FALSE)</f>
        <v>91.29965</v>
      </c>
      <c r="AL14" s="33">
        <f t="shared" si="70"/>
        <v>10566.660000000002</v>
      </c>
      <c r="AM14" s="30">
        <f>VLOOKUP(AM$9,[2]PC!$C$133:$T$184,6,FALSE)</f>
        <v>4340.2269999999999</v>
      </c>
      <c r="AN14" s="30">
        <f>VLOOKUP(AN$9,[2]PC!$C$133:$T$184,6,FALSE)</f>
        <v>5056.777</v>
      </c>
      <c r="AO14" s="30">
        <f>VLOOKUP(AO$9,[2]PC!$C$133:$T$184,6,FALSE)</f>
        <v>1030.2870372154628</v>
      </c>
      <c r="AP14" s="30">
        <f>VLOOKUP(AP$9,[2]PC!$C$133:$T$184,6,FALSE)</f>
        <v>139.3689627845371</v>
      </c>
      <c r="AQ14" s="33">
        <f t="shared" si="71"/>
        <v>2225.0586090600468</v>
      </c>
      <c r="AR14" s="30">
        <f>VLOOKUP(AR$9,[2]PC!$C$133:$T$184,6,FALSE)</f>
        <v>548.03699999999992</v>
      </c>
      <c r="AS14" s="30">
        <f>VLOOKUP(AS$9,[2]PC!$C$133:$T$184,6,FALSE)</f>
        <v>2.9690883957012355</v>
      </c>
      <c r="AT14" s="30">
        <f>VLOOKUP(AT$9,[2]PC!$C$133:$T$184,6,FALSE)</f>
        <v>1674.0525206643456</v>
      </c>
      <c r="AU14" s="33">
        <f t="shared" si="72"/>
        <v>4320.5043909399528</v>
      </c>
      <c r="AV14" s="30">
        <f>VLOOKUP(AV$9,[2]PC!$C$133:$T$184,6,FALSE)</f>
        <v>562.06461272910258</v>
      </c>
      <c r="AW14" s="30">
        <f>VLOOKUP(AW$9,[2]PC!$C$133:$T$184,6,FALSE)</f>
        <v>320.6245647406306</v>
      </c>
      <c r="AX14" s="30">
        <f>VLOOKUP(AX$9,[2]PC!$C$133:$T$184,6,FALSE)</f>
        <v>551.7052613177558</v>
      </c>
      <c r="AY14" s="30">
        <f>VLOOKUP(AY$9,[2]PC!$C$133:$T$184,6,FALSE)</f>
        <v>755.44842131603673</v>
      </c>
      <c r="AZ14" s="30">
        <f>VLOOKUP(AZ$9,[2]PC!$C$133:$T$184,6,FALSE)</f>
        <v>30.830298875195961</v>
      </c>
      <c r="BA14" s="30">
        <f>VLOOKUP(BA$9,[2]PC!$C$133:$T$184,6,FALSE)</f>
        <v>585.10223196123093</v>
      </c>
      <c r="BB14" s="30">
        <f>VLOOKUP(BB$9,[2]PC!$C$133:$T$184,6,FALSE)</f>
        <v>1058.287</v>
      </c>
      <c r="BC14" s="30">
        <f>VLOOKUP(BC$9,[2]PC!$C$133:$T$184,6,FALSE)</f>
        <v>456.44200000000001</v>
      </c>
      <c r="BD14" s="33">
        <f t="shared" si="73"/>
        <v>902.53800000000001</v>
      </c>
      <c r="BE14" s="30">
        <f>VLOOKUP(BE$9,[2]PC!$C$133:$T$184,6,FALSE)</f>
        <v>187.392</v>
      </c>
      <c r="BF14" s="30">
        <f>VLOOKUP(BF$9,[2]PC!$C$133:$T$184,6,FALSE)</f>
        <v>122.12700000000001</v>
      </c>
      <c r="BG14" s="30">
        <f>VLOOKUP(BG$9,[2]PC!$C$133:$T$184,6,FALSE)</f>
        <v>9.8279999999999994</v>
      </c>
      <c r="BH14" s="30">
        <f>VLOOKUP(BH$9,[2]PC!$C$133:$T$184,6,FALSE)</f>
        <v>339.98899999999998</v>
      </c>
      <c r="BI14" s="30">
        <f>VLOOKUP(BI$9,[2]PC!$C$133:$T$184,6,FALSE)</f>
        <v>243.202</v>
      </c>
      <c r="BJ14" s="33">
        <f t="shared" si="74"/>
        <v>7004.1459999999997</v>
      </c>
      <c r="BK14" s="30">
        <f>VLOOKUP(BK$9,[2]PC!$C$133:$T$184,6,FALSE)</f>
        <v>5373.5429999999997</v>
      </c>
      <c r="BL14" s="30">
        <f>VLOOKUP(BL$9,[2]PC!$C$133:$T$184,6,FALSE)</f>
        <v>1630.6030000000001</v>
      </c>
      <c r="BM14" s="33">
        <f t="shared" si="75"/>
        <v>2527.8760000000002</v>
      </c>
      <c r="BN14" s="30">
        <f>VLOOKUP(BN$9,[2]PC!$C$133:$T$184,6,FALSE)</f>
        <v>732.39700000000005</v>
      </c>
      <c r="BO14" s="30">
        <f>VLOOKUP(BO$9,[2]PC!$C$133:$T$184,6,FALSE)</f>
        <v>1795.479</v>
      </c>
      <c r="BP14" s="49">
        <f t="shared" si="76"/>
        <v>4274.9680000000008</v>
      </c>
      <c r="BQ14" s="30">
        <f>VLOOKUP(BQ$9,[2]PC!$C$133:$T$184,6,FALSE)</f>
        <v>995.59900000000039</v>
      </c>
      <c r="BR14" s="30">
        <f>VLOOKUP(BR$9,[2]PC!$C$133:$T$184,6,FALSE)</f>
        <v>641.84199999999998</v>
      </c>
      <c r="BS14" s="30">
        <f>VLOOKUP(BS$9,[2]PC!$C$133:$T$184,6,FALSE)</f>
        <v>971.70799999999997</v>
      </c>
      <c r="BT14" s="30">
        <f>VLOOKUP(BT$9,[2]PC!$C$133:$T$184,6,FALSE)</f>
        <v>1665.819</v>
      </c>
      <c r="BU14" s="52"/>
      <c r="BV14" s="52"/>
    </row>
    <row r="15" spans="1:74" s="4" customFormat="1" ht="15" customHeight="1">
      <c r="A15" s="10">
        <v>1998</v>
      </c>
      <c r="B15" s="33">
        <f t="shared" si="77"/>
        <v>68502.282999999996</v>
      </c>
      <c r="C15" s="31">
        <f>ROUND([1]QRE98!$M$44/1000,3)</f>
        <v>1678.6990000000001</v>
      </c>
      <c r="D15" s="30">
        <f>(ROUND([1]QRE98!$M$43/1000,3))*-1</f>
        <v>4450.0060000000003</v>
      </c>
      <c r="E15" s="33">
        <f t="shared" si="78"/>
        <v>71273.59</v>
      </c>
      <c r="F15" s="39">
        <f>[2]Durabilidade_PC!$I$6+[2]Durabilidade_PC!$I$7</f>
        <v>9112.7790000000005</v>
      </c>
      <c r="G15" s="39">
        <f>[2]Durabilidade_PC!$I$8+[2]Durabilidade_PC!$I$9</f>
        <v>62160.811000000009</v>
      </c>
      <c r="H15" s="30">
        <f t="shared" si="64"/>
        <v>12514.514999999999</v>
      </c>
      <c r="I15" s="30">
        <f>VLOOKUP(I$9,[2]PC!$C$133:$T$184,7,FALSE)</f>
        <v>11745.359</v>
      </c>
      <c r="J15" s="30">
        <f>VLOOKUP(J$9,[2]PC!$C$133:$T$184,7,FALSE)</f>
        <v>769.15599999999995</v>
      </c>
      <c r="K15" s="30">
        <f>VLOOKUP(K$9,[2]PC!$C$133:$T$184,7,FALSE)</f>
        <v>0</v>
      </c>
      <c r="L15" s="33">
        <f t="shared" si="65"/>
        <v>2613.6149999999998</v>
      </c>
      <c r="M15" s="30">
        <f>VLOOKUP(M$9,[2]PC!$C$133:$T$184,7,FALSE)</f>
        <v>1096.182</v>
      </c>
      <c r="N15" s="30">
        <f>VLOOKUP(N$9,[2]PC!$C$133:$T$184,7,FALSE)</f>
        <v>0</v>
      </c>
      <c r="O15" s="30">
        <f>VLOOKUP(O$9,[2]PC!$C$133:$T$184,7,FALSE)</f>
        <v>1451.0799999999997</v>
      </c>
      <c r="P15" s="30">
        <f>VLOOKUP(P$9,[2]PC!$C$133:$T$184,7,FALSE)</f>
        <v>66.352999999999994</v>
      </c>
      <c r="Q15" s="33">
        <f t="shared" si="66"/>
        <v>4991.7139999999999</v>
      </c>
      <c r="R15" s="30">
        <f>VLOOKUP(R$9,[2]PC!$C$133:$T$184,7,FALSE)</f>
        <v>4090.7709999999997</v>
      </c>
      <c r="S15" s="30">
        <f>VLOOKUP(S$9,[2]PC!$C$133:$T$184,7,FALSE)</f>
        <v>900.94299999999998</v>
      </c>
      <c r="T15" s="33">
        <f t="shared" si="67"/>
        <v>8973.3768278868138</v>
      </c>
      <c r="U15" s="30">
        <f>VLOOKUP(U$9,[2]PC!$C$133:$T$184,7,FALSE)</f>
        <v>1734.3380000000002</v>
      </c>
      <c r="V15" s="30">
        <f>VLOOKUP(V$9,[2]PC!$C$133:$T$184,7,FALSE)</f>
        <v>4727.1959999999999</v>
      </c>
      <c r="W15" s="30">
        <f>VLOOKUP(W$9,[2]PC!$C$133:$T$184,7,FALSE)</f>
        <v>259.26519862603209</v>
      </c>
      <c r="X15" s="30">
        <f>VLOOKUP(X$9,[2]PC!$C$133:$T$184,7,FALSE)</f>
        <v>393.13062926078254</v>
      </c>
      <c r="Y15" s="30">
        <f>VLOOKUP(Y$9,[2]PC!$C$133:$T$184,7,FALSE)</f>
        <v>1859.4469999999999</v>
      </c>
      <c r="Z15" s="33">
        <f t="shared" si="68"/>
        <v>4691.0951721131842</v>
      </c>
      <c r="AA15" s="30">
        <f>VLOOKUP(AA$9,[2]PC!$C$133:$T$184,7,FALSE)</f>
        <v>1436.8453127982318</v>
      </c>
      <c r="AB15" s="30">
        <f>VLOOKUP(AB$9,[2]PC!$C$133:$T$184,7,FALSE)</f>
        <v>450.12099999999998</v>
      </c>
      <c r="AC15" s="30">
        <f>VLOOKUP(AC$9,[2]PC!$C$133:$T$184,7,FALSE)</f>
        <v>923.59047589678494</v>
      </c>
      <c r="AD15" s="30">
        <f>VLOOKUP(AD$9,[2]PC!$C$133:$T$184,7,FALSE)</f>
        <v>577.46852410321503</v>
      </c>
      <c r="AE15" s="30">
        <f>VLOOKUP(AE$9,[2]PC!$C$133:$T$184,7,FALSE)</f>
        <v>64.348859314953444</v>
      </c>
      <c r="AF15" s="30">
        <f>VLOOKUP(AF$9,[2]PC!$C$133:$T$184,7,FALSE)</f>
        <v>1238.7209999999991</v>
      </c>
      <c r="AG15" s="33">
        <f t="shared" si="69"/>
        <v>2958.4450000000002</v>
      </c>
      <c r="AH15" s="30">
        <f>VLOOKUP(AH$9,[2]PC!$C$133:$T$184,7,FALSE)</f>
        <v>1083.8841835693638</v>
      </c>
      <c r="AI15" s="30">
        <f>VLOOKUP(AI$9,[2]PC!$C$133:$T$184,7,FALSE)</f>
        <v>1671.3762164306363</v>
      </c>
      <c r="AJ15" s="30">
        <f>VLOOKUP(AJ$9,[2]PC!$C$133:$T$184,7,FALSE)</f>
        <v>117.04900000000001</v>
      </c>
      <c r="AK15" s="30">
        <f>VLOOKUP(AK$9,[2]PC!$C$133:$T$184,7,FALSE)</f>
        <v>86.135600000000011</v>
      </c>
      <c r="AL15" s="33">
        <f t="shared" si="70"/>
        <v>11711.034</v>
      </c>
      <c r="AM15" s="30">
        <f>VLOOKUP(AM$9,[2]PC!$C$133:$T$184,7,FALSE)</f>
        <v>5191.9269999999997</v>
      </c>
      <c r="AN15" s="30">
        <f>VLOOKUP(AN$9,[2]PC!$C$133:$T$184,7,FALSE)</f>
        <v>5311.7049999999999</v>
      </c>
      <c r="AO15" s="30">
        <f>VLOOKUP(AO$9,[2]PC!$C$133:$T$184,7,FALSE)</f>
        <v>1070.3348867908887</v>
      </c>
      <c r="AP15" s="30">
        <f>VLOOKUP(AP$9,[2]PC!$C$133:$T$184,7,FALSE)</f>
        <v>137.0671132091114</v>
      </c>
      <c r="AQ15" s="33">
        <f t="shared" si="71"/>
        <v>2450.773074337354</v>
      </c>
      <c r="AR15" s="30">
        <f>VLOOKUP(AR$9,[2]PC!$C$133:$T$184,7,FALSE)</f>
        <v>627.83849999999995</v>
      </c>
      <c r="AS15" s="30">
        <f>VLOOKUP(AS$9,[2]PC!$C$133:$T$184,7,FALSE)</f>
        <v>3.404176791737958</v>
      </c>
      <c r="AT15" s="30">
        <f>VLOOKUP(AT$9,[2]PC!$C$133:$T$184,7,FALSE)</f>
        <v>1819.5303975456161</v>
      </c>
      <c r="AU15" s="33">
        <f t="shared" si="72"/>
        <v>4575.3879256626469</v>
      </c>
      <c r="AV15" s="30">
        <f>VLOOKUP(AV$9,[2]PC!$C$133:$T$184,7,FALSE)</f>
        <v>644.05873052404763</v>
      </c>
      <c r="AW15" s="30">
        <f>VLOOKUP(AW$9,[2]PC!$C$133:$T$184,7,FALSE)</f>
        <v>329.28917840621523</v>
      </c>
      <c r="AX15" s="30">
        <f>VLOOKUP(AX$9,[2]PC!$C$133:$T$184,7,FALSE)</f>
        <v>566.61463967576083</v>
      </c>
      <c r="AY15" s="30">
        <f>VLOOKUP(AY$9,[2]PC!$C$133:$T$184,7,FALSE)</f>
        <v>798.13476124074168</v>
      </c>
      <c r="AZ15" s="30">
        <f>VLOOKUP(AZ$9,[2]PC!$C$133:$T$184,7,FALSE)</f>
        <v>34.888592684214302</v>
      </c>
      <c r="BA15" s="30">
        <f>VLOOKUP(BA$9,[2]PC!$C$133:$T$184,7,FALSE)</f>
        <v>620.60102313166669</v>
      </c>
      <c r="BB15" s="30">
        <f>VLOOKUP(BB$9,[2]PC!$C$133:$T$184,7,FALSE)</f>
        <v>1163.8320000000001</v>
      </c>
      <c r="BC15" s="30">
        <f>VLOOKUP(BC$9,[2]PC!$C$133:$T$184,7,FALSE)</f>
        <v>417.96899999999999</v>
      </c>
      <c r="BD15" s="33">
        <f t="shared" si="73"/>
        <v>912.00600000000009</v>
      </c>
      <c r="BE15" s="30">
        <f>VLOOKUP(BE$9,[2]PC!$C$133:$T$184,7,FALSE)</f>
        <v>192.88900000000001</v>
      </c>
      <c r="BF15" s="30">
        <f>VLOOKUP(BF$9,[2]PC!$C$133:$T$184,7,FALSE)</f>
        <v>124.24799999999999</v>
      </c>
      <c r="BG15" s="30">
        <f>VLOOKUP(BG$9,[2]PC!$C$133:$T$184,7,FALSE)</f>
        <v>9.93</v>
      </c>
      <c r="BH15" s="30">
        <f>VLOOKUP(BH$9,[2]PC!$C$133:$T$184,7,FALSE)</f>
        <v>335.01599999999996</v>
      </c>
      <c r="BI15" s="30">
        <f>VLOOKUP(BI$9,[2]PC!$C$133:$T$184,7,FALSE)</f>
        <v>249.92300000000006</v>
      </c>
      <c r="BJ15" s="33">
        <f t="shared" si="74"/>
        <v>7681.8249999999998</v>
      </c>
      <c r="BK15" s="30">
        <f>VLOOKUP(BK$9,[2]PC!$C$133:$T$184,7,FALSE)</f>
        <v>5906.1559999999999</v>
      </c>
      <c r="BL15" s="30">
        <f>VLOOKUP(BL$9,[2]PC!$C$133:$T$184,7,FALSE)</f>
        <v>1775.6690000000001</v>
      </c>
      <c r="BM15" s="33">
        <f t="shared" si="75"/>
        <v>2721.0990000000002</v>
      </c>
      <c r="BN15" s="30">
        <f>VLOOKUP(BN$9,[2]PC!$C$133:$T$184,7,FALSE)</f>
        <v>725.20399999999995</v>
      </c>
      <c r="BO15" s="30">
        <f>VLOOKUP(BO$9,[2]PC!$C$133:$T$184,7,FALSE)</f>
        <v>1995.895</v>
      </c>
      <c r="BP15" s="49">
        <f t="shared" si="76"/>
        <v>4478.7039999999988</v>
      </c>
      <c r="BQ15" s="30">
        <f>VLOOKUP(BQ$9,[2]PC!$C$133:$T$184,7,FALSE)</f>
        <v>998.81099999999878</v>
      </c>
      <c r="BR15" s="30">
        <f>VLOOKUP(BR$9,[2]PC!$C$133:$T$184,7,FALSE)</f>
        <v>756.55600000000004</v>
      </c>
      <c r="BS15" s="30">
        <f>VLOOKUP(BS$9,[2]PC!$C$133:$T$184,7,FALSE)</f>
        <v>1023.279</v>
      </c>
      <c r="BT15" s="30">
        <f>VLOOKUP(BT$9,[2]PC!$C$133:$T$184,7,FALSE)</f>
        <v>1700.058</v>
      </c>
      <c r="BU15" s="52"/>
      <c r="BV15" s="52"/>
    </row>
    <row r="16" spans="1:74" s="4" customFormat="1" ht="15" customHeight="1">
      <c r="A16" s="10">
        <v>1999</v>
      </c>
      <c r="B16" s="33">
        <f t="shared" si="77"/>
        <v>73942.671999999991</v>
      </c>
      <c r="C16" s="31">
        <f>ROUND([1]QRE99!$M$44/1000,3)</f>
        <v>1691.471</v>
      </c>
      <c r="D16" s="30">
        <f>(ROUND([1]QRE99!$M$43/1000,3))*-1</f>
        <v>4499.277</v>
      </c>
      <c r="E16" s="33">
        <f t="shared" si="78"/>
        <v>76750.477999999988</v>
      </c>
      <c r="F16" s="39">
        <f>[2]Durabilidade_PC!$J$6+[2]Durabilidade_PC!$J$7</f>
        <v>10455.878000000001</v>
      </c>
      <c r="G16" s="39">
        <f>[2]Durabilidade_PC!$J$8+[2]Durabilidade_PC!$J$9</f>
        <v>66294.599999999991</v>
      </c>
      <c r="H16" s="30">
        <f t="shared" si="64"/>
        <v>13136.217000000001</v>
      </c>
      <c r="I16" s="30">
        <f>VLOOKUP(I$9,[2]PC!$C$133:$T$184,8,FALSE)</f>
        <v>12335.312</v>
      </c>
      <c r="J16" s="30">
        <f>VLOOKUP(J$9,[2]PC!$C$133:$T$184,8,FALSE)</f>
        <v>800.90499999999997</v>
      </c>
      <c r="K16" s="30">
        <f>VLOOKUP(K$9,[2]PC!$C$133:$T$184,8,FALSE)</f>
        <v>0</v>
      </c>
      <c r="L16" s="33">
        <f t="shared" si="65"/>
        <v>2769.05</v>
      </c>
      <c r="M16" s="30">
        <f>VLOOKUP(M$9,[2]PC!$C$133:$T$184,8,FALSE)</f>
        <v>1144.07</v>
      </c>
      <c r="N16" s="30">
        <f>VLOOKUP(N$9,[2]PC!$C$133:$T$184,8,FALSE)</f>
        <v>0</v>
      </c>
      <c r="O16" s="30">
        <f>VLOOKUP(O$9,[2]PC!$C$133:$T$184,8,FALSE)</f>
        <v>1553.6470000000002</v>
      </c>
      <c r="P16" s="30">
        <f>VLOOKUP(P$9,[2]PC!$C$133:$T$184,8,FALSE)</f>
        <v>71.332999999999998</v>
      </c>
      <c r="Q16" s="33">
        <f t="shared" si="66"/>
        <v>5029.6729999999998</v>
      </c>
      <c r="R16" s="30">
        <f>VLOOKUP(R$9,[2]PC!$C$133:$T$184,8,FALSE)</f>
        <v>4115.473</v>
      </c>
      <c r="S16" s="30">
        <f>VLOOKUP(S$9,[2]PC!$C$133:$T$184,8,FALSE)</f>
        <v>914.2</v>
      </c>
      <c r="T16" s="33">
        <f t="shared" si="67"/>
        <v>9484.819361133701</v>
      </c>
      <c r="U16" s="30">
        <f>VLOOKUP(U$9,[2]PC!$C$133:$T$184,8,FALSE)</f>
        <v>1836.7720000000008</v>
      </c>
      <c r="V16" s="30">
        <f>VLOOKUP(V$9,[2]PC!$C$133:$T$184,8,FALSE)</f>
        <v>5006.3959999999997</v>
      </c>
      <c r="W16" s="30">
        <f>VLOOKUP(W$9,[2]PC!$C$133:$T$184,8,FALSE)</f>
        <v>259.04659498491685</v>
      </c>
      <c r="X16" s="30">
        <f>VLOOKUP(X$9,[2]PC!$C$133:$T$184,8,FALSE)</f>
        <v>428.24476614878404</v>
      </c>
      <c r="Y16" s="30">
        <f>VLOOKUP(Y$9,[2]PC!$C$133:$T$184,8,FALSE)</f>
        <v>1954.3600000000001</v>
      </c>
      <c r="Z16" s="33">
        <f t="shared" si="68"/>
        <v>5060.1336388662985</v>
      </c>
      <c r="AA16" s="30">
        <f>VLOOKUP(AA$9,[2]PC!$C$133:$T$184,8,FALSE)</f>
        <v>1605.9257955715723</v>
      </c>
      <c r="AB16" s="30">
        <f>VLOOKUP(AB$9,[2]PC!$C$133:$T$184,8,FALSE)</f>
        <v>506.58800000000002</v>
      </c>
      <c r="AC16" s="30">
        <f>VLOOKUP(AC$9,[2]PC!$C$133:$T$184,8,FALSE)</f>
        <v>989.11731640455707</v>
      </c>
      <c r="AD16" s="30">
        <f>VLOOKUP(AD$9,[2]PC!$C$133:$T$184,8,FALSE)</f>
        <v>556.25768359544293</v>
      </c>
      <c r="AE16" s="30">
        <f>VLOOKUP(AE$9,[2]PC!$C$133:$T$184,8,FALSE)</f>
        <v>56.836843294726869</v>
      </c>
      <c r="AF16" s="30">
        <f>VLOOKUP(AF$9,[2]PC!$C$133:$T$184,8,FALSE)</f>
        <v>1345.4079999999999</v>
      </c>
      <c r="AG16" s="33">
        <f t="shared" si="69"/>
        <v>3467.4760000000001</v>
      </c>
      <c r="AH16" s="30">
        <f>VLOOKUP(AH$9,[2]PC!$C$133:$T$184,8,FALSE)</f>
        <v>1388.5862419431417</v>
      </c>
      <c r="AI16" s="30">
        <f>VLOOKUP(AI$9,[2]PC!$C$133:$T$184,8,FALSE)</f>
        <v>1803.6084580568586</v>
      </c>
      <c r="AJ16" s="30">
        <f>VLOOKUP(AJ$9,[2]PC!$C$133:$T$184,8,FALSE)</f>
        <v>182.70099999999999</v>
      </c>
      <c r="AK16" s="30">
        <f>VLOOKUP(AK$9,[2]PC!$C$133:$T$184,8,FALSE)</f>
        <v>92.580300000000008</v>
      </c>
      <c r="AL16" s="33">
        <f t="shared" si="70"/>
        <v>12994.894000000002</v>
      </c>
      <c r="AM16" s="30">
        <f>VLOOKUP(AM$9,[2]PC!$C$133:$T$184,8,FALSE)</f>
        <v>6036.88</v>
      </c>
      <c r="AN16" s="30">
        <f>VLOOKUP(AN$9,[2]PC!$C$133:$T$184,8,FALSE)</f>
        <v>5614.393</v>
      </c>
      <c r="AO16" s="30">
        <f>VLOOKUP(AO$9,[2]PC!$C$133:$T$184,8,FALSE)</f>
        <v>1207.9369040381787</v>
      </c>
      <c r="AP16" s="30">
        <f>VLOOKUP(AP$9,[2]PC!$C$133:$T$184,8,FALSE)</f>
        <v>135.68409596182121</v>
      </c>
      <c r="AQ16" s="33">
        <f t="shared" si="71"/>
        <v>2711.0912782613668</v>
      </c>
      <c r="AR16" s="30">
        <f>VLOOKUP(AR$9,[2]PC!$C$133:$T$184,8,FALSE)</f>
        <v>698.8075</v>
      </c>
      <c r="AS16" s="30">
        <f>VLOOKUP(AS$9,[2]PC!$C$133:$T$184,8,FALSE)</f>
        <v>3.7896621150395204</v>
      </c>
      <c r="AT16" s="30">
        <f>VLOOKUP(AT$9,[2]PC!$C$133:$T$184,8,FALSE)</f>
        <v>2008.4941161463275</v>
      </c>
      <c r="AU16" s="33">
        <f t="shared" si="72"/>
        <v>4975.8247217386315</v>
      </c>
      <c r="AV16" s="30">
        <f>VLOOKUP(AV$9,[2]PC!$C$133:$T$184,8,FALSE)</f>
        <v>718.07374627741387</v>
      </c>
      <c r="AW16" s="30">
        <f>VLOOKUP(AW$9,[2]PC!$C$133:$T$184,8,FALSE)</f>
        <v>344.92943346206022</v>
      </c>
      <c r="AX16" s="30">
        <f>VLOOKUP(AX$9,[2]PC!$C$133:$T$184,8,FALSE)</f>
        <v>593.52714717387346</v>
      </c>
      <c r="AY16" s="30">
        <f>VLOOKUP(AY$9,[2]PC!$C$133:$T$184,8,FALSE)</f>
        <v>858.69848643223963</v>
      </c>
      <c r="AZ16" s="30">
        <f>VLOOKUP(AZ$9,[2]PC!$C$133:$T$184,8,FALSE)</f>
        <v>40.182091607546404</v>
      </c>
      <c r="BA16" s="30">
        <f>VLOOKUP(BA$9,[2]PC!$C$133:$T$184,8,FALSE)</f>
        <v>670.10381678549902</v>
      </c>
      <c r="BB16" s="30">
        <f>VLOOKUP(BB$9,[2]PC!$C$133:$T$184,8,FALSE)</f>
        <v>1305.797</v>
      </c>
      <c r="BC16" s="30">
        <f>VLOOKUP(BC$9,[2]PC!$C$133:$T$184,8,FALSE)</f>
        <v>444.51299999999998</v>
      </c>
      <c r="BD16" s="33">
        <f t="shared" si="73"/>
        <v>979.37399999999991</v>
      </c>
      <c r="BE16" s="30">
        <f>VLOOKUP(BE$9,[2]PC!$C$133:$T$184,8,FALSE)</f>
        <v>210.303</v>
      </c>
      <c r="BF16" s="30">
        <f>VLOOKUP(BF$9,[2]PC!$C$133:$T$184,8,FALSE)</f>
        <v>139.33500000000001</v>
      </c>
      <c r="BG16" s="30">
        <f>VLOOKUP(BG$9,[2]PC!$C$133:$T$184,8,FALSE)</f>
        <v>10.664</v>
      </c>
      <c r="BH16" s="30">
        <f>VLOOKUP(BH$9,[2]PC!$C$133:$T$184,8,FALSE)</f>
        <v>345.584</v>
      </c>
      <c r="BI16" s="30">
        <f>VLOOKUP(BI$9,[2]PC!$C$133:$T$184,8,FALSE)</f>
        <v>273.48799999999994</v>
      </c>
      <c r="BJ16" s="33">
        <f t="shared" si="74"/>
        <v>8023.8029999999999</v>
      </c>
      <c r="BK16" s="30">
        <f>VLOOKUP(BK$9,[2]PC!$C$133:$T$184,8,FALSE)</f>
        <v>6182.3519999999999</v>
      </c>
      <c r="BL16" s="30">
        <f>VLOOKUP(BL$9,[2]PC!$C$133:$T$184,8,FALSE)</f>
        <v>1841.451</v>
      </c>
      <c r="BM16" s="33">
        <f t="shared" si="75"/>
        <v>3142.7479999999996</v>
      </c>
      <c r="BN16" s="30">
        <f>VLOOKUP(BN$9,[2]PC!$C$133:$T$184,8,FALSE)</f>
        <v>767.61699999999996</v>
      </c>
      <c r="BO16" s="30">
        <f>VLOOKUP(BO$9,[2]PC!$C$133:$T$184,8,FALSE)</f>
        <v>2375.1309999999999</v>
      </c>
      <c r="BP16" s="49">
        <f t="shared" si="76"/>
        <v>4975.3739999999998</v>
      </c>
      <c r="BQ16" s="30">
        <f>VLOOKUP(BQ$9,[2]PC!$C$133:$T$184,8,FALSE)</f>
        <v>1058.1709999999994</v>
      </c>
      <c r="BR16" s="30">
        <f>VLOOKUP(BR$9,[2]PC!$C$133:$T$184,8,FALSE)</f>
        <v>946.49599999999998</v>
      </c>
      <c r="BS16" s="30">
        <f>VLOOKUP(BS$9,[2]PC!$C$133:$T$184,8,FALSE)</f>
        <v>1156.6990000000001</v>
      </c>
      <c r="BT16" s="30">
        <f>VLOOKUP(BT$9,[2]PC!$C$133:$T$184,8,FALSE)</f>
        <v>1814.0079999999998</v>
      </c>
      <c r="BU16" s="52"/>
      <c r="BV16" s="52"/>
    </row>
    <row r="17" spans="1:74" ht="15" customHeight="1">
      <c r="A17" s="10">
        <v>2000</v>
      </c>
      <c r="B17" s="33">
        <f t="shared" si="77"/>
        <v>79460.275000000009</v>
      </c>
      <c r="C17" s="31">
        <f>ROUND([1]QRE00!$M$44/1000,3)</f>
        <v>1906.174</v>
      </c>
      <c r="D17" s="30">
        <f>(ROUND([1]QRE00!$M$43/1000,3))*-1</f>
        <v>5191.1959999999999</v>
      </c>
      <c r="E17" s="33">
        <f t="shared" si="78"/>
        <v>82745.297000000006</v>
      </c>
      <c r="F17" s="39">
        <f>[2]Durabilidade_PC!$K$6+[2]Durabilidade_PC!$K$7</f>
        <v>11172.679</v>
      </c>
      <c r="G17" s="39">
        <f>[2]Durabilidade_PC!$K$8+[2]Durabilidade_PC!$K$9</f>
        <v>71572.618000000002</v>
      </c>
      <c r="H17" s="30">
        <f t="shared" si="64"/>
        <v>13667.261999999999</v>
      </c>
      <c r="I17" s="30">
        <f>VLOOKUP(I$9,[2]PC!$C$133:$T$184,9,FALSE)</f>
        <v>12840.701999999999</v>
      </c>
      <c r="J17" s="30">
        <f>VLOOKUP(J$9,[2]PC!$C$133:$T$184,9,FALSE)</f>
        <v>826.56</v>
      </c>
      <c r="K17" s="30">
        <f>VLOOKUP(K$9,[2]PC!$C$133:$T$184,9,FALSE)</f>
        <v>0</v>
      </c>
      <c r="L17" s="33">
        <f t="shared" si="65"/>
        <v>2868.4219999999996</v>
      </c>
      <c r="M17" s="30">
        <f>VLOOKUP(M$9,[2]PC!$C$133:$T$184,9,FALSE)</f>
        <v>1166.8109999999999</v>
      </c>
      <c r="N17" s="30">
        <f>VLOOKUP(N$9,[2]PC!$C$133:$T$184,9,FALSE)</f>
        <v>0</v>
      </c>
      <c r="O17" s="30">
        <f>VLOOKUP(O$9,[2]PC!$C$133:$T$184,9,FALSE)</f>
        <v>1625.076</v>
      </c>
      <c r="P17" s="30">
        <f>VLOOKUP(P$9,[2]PC!$C$133:$T$184,9,FALSE)</f>
        <v>76.534999999999997</v>
      </c>
      <c r="Q17" s="33">
        <f t="shared" si="66"/>
        <v>5382.1769999999997</v>
      </c>
      <c r="R17" s="30">
        <f>VLOOKUP(R$9,[2]PC!$C$133:$T$184,9,FALSE)</f>
        <v>4396.9929999999995</v>
      </c>
      <c r="S17" s="30">
        <f>VLOOKUP(S$9,[2]PC!$C$133:$T$184,9,FALSE)</f>
        <v>985.18399999999997</v>
      </c>
      <c r="T17" s="33">
        <f t="shared" si="67"/>
        <v>10126.661002551104</v>
      </c>
      <c r="U17" s="30">
        <f>VLOOKUP(U$9,[2]PC!$C$133:$T$184,9,FALSE)</f>
        <v>1954.2400000000005</v>
      </c>
      <c r="V17" s="30">
        <f>VLOOKUP(V$9,[2]PC!$C$133:$T$184,9,FALSE)</f>
        <v>5326.5709999999999</v>
      </c>
      <c r="W17" s="30">
        <f>VLOOKUP(W$9,[2]PC!$C$133:$T$184,9,FALSE)</f>
        <v>259.74234739283344</v>
      </c>
      <c r="X17" s="30">
        <f>VLOOKUP(X$9,[2]PC!$C$133:$T$184,9,FALSE)</f>
        <v>461.76665515826909</v>
      </c>
      <c r="Y17" s="30">
        <f>VLOOKUP(Y$9,[2]PC!$C$133:$T$184,9,FALSE)</f>
        <v>2124.3409999999999</v>
      </c>
      <c r="Z17" s="33">
        <f t="shared" si="68"/>
        <v>5432.2639974488984</v>
      </c>
      <c r="AA17" s="30">
        <f>VLOOKUP(AA$9,[2]PC!$C$133:$T$184,9,FALSE)</f>
        <v>1783.8440866235562</v>
      </c>
      <c r="AB17" s="30">
        <f>VLOOKUP(AB$9,[2]PC!$C$133:$T$184,9,FALSE)</f>
        <v>566.31299999999999</v>
      </c>
      <c r="AC17" s="30">
        <f>VLOOKUP(AC$9,[2]PC!$C$133:$T$184,9,FALSE)</f>
        <v>1054.2863363335134</v>
      </c>
      <c r="AD17" s="30">
        <f>VLOOKUP(AD$9,[2]PC!$C$133:$T$184,9,FALSE)</f>
        <v>526.12266366648669</v>
      </c>
      <c r="AE17" s="30">
        <f>VLOOKUP(AE$9,[2]PC!$C$133:$T$184,9,FALSE)</f>
        <v>47.608910825341333</v>
      </c>
      <c r="AF17" s="30">
        <f>VLOOKUP(AF$9,[2]PC!$C$133:$T$184,9,FALSE)</f>
        <v>1454.0890000000004</v>
      </c>
      <c r="AG17" s="33">
        <f t="shared" si="69"/>
        <v>3651.7689999999998</v>
      </c>
      <c r="AH17" s="30">
        <f>VLOOKUP(AH$9,[2]PC!$C$133:$T$184,9,FALSE)</f>
        <v>1590.9732857239467</v>
      </c>
      <c r="AI17" s="30">
        <f>VLOOKUP(AI$9,[2]PC!$C$133:$T$184,9,FALSE)</f>
        <v>1742.312514276053</v>
      </c>
      <c r="AJ17" s="30">
        <f>VLOOKUP(AJ$9,[2]PC!$C$133:$T$184,9,FALSE)</f>
        <v>229.471</v>
      </c>
      <c r="AK17" s="30">
        <f>VLOOKUP(AK$9,[2]PC!$C$133:$T$184,9,FALSE)</f>
        <v>89.012200000000007</v>
      </c>
      <c r="AL17" s="33">
        <f t="shared" si="70"/>
        <v>14281.561</v>
      </c>
      <c r="AM17" s="30">
        <f>VLOOKUP(AM$9,[2]PC!$C$133:$T$184,9,FALSE)</f>
        <v>6349.1840000000002</v>
      </c>
      <c r="AN17" s="30">
        <f>VLOOKUP(AN$9,[2]PC!$C$133:$T$184,9,FALSE)</f>
        <v>6413.2269999999999</v>
      </c>
      <c r="AO17" s="30">
        <f>VLOOKUP(AO$9,[2]PC!$C$133:$T$184,9,FALSE)</f>
        <v>1376.861027695619</v>
      </c>
      <c r="AP17" s="30">
        <f>VLOOKUP(AP$9,[2]PC!$C$133:$T$184,9,FALSE)</f>
        <v>142.2889723043811</v>
      </c>
      <c r="AQ17" s="33">
        <f t="shared" si="71"/>
        <v>3012.9944980572263</v>
      </c>
      <c r="AR17" s="30">
        <f>VLOOKUP(AR$9,[2]PC!$C$133:$T$184,9,FALSE)</f>
        <v>718.53450000000009</v>
      </c>
      <c r="AS17" s="30">
        <f>VLOOKUP(AS$9,[2]PC!$C$133:$T$184,9,FALSE)</f>
        <v>3.8907370670619983</v>
      </c>
      <c r="AT17" s="30">
        <f>VLOOKUP(AT$9,[2]PC!$C$133:$T$184,9,FALSE)</f>
        <v>2290.5692609901644</v>
      </c>
      <c r="AU17" s="33">
        <f t="shared" si="72"/>
        <v>5492.8135019427737</v>
      </c>
      <c r="AV17" s="30">
        <f>VLOOKUP(AV$9,[2]PC!$C$133:$T$184,9,FALSE)</f>
        <v>741.35135802511638</v>
      </c>
      <c r="AW17" s="30">
        <f>VLOOKUP(AW$9,[2]PC!$C$133:$T$184,9,FALSE)</f>
        <v>362.69152632920054</v>
      </c>
      <c r="AX17" s="30">
        <f>VLOOKUP(AX$9,[2]PC!$C$133:$T$184,9,FALSE)</f>
        <v>624.09074449132538</v>
      </c>
      <c r="AY17" s="30">
        <f>VLOOKUP(AY$9,[2]PC!$C$133:$T$184,9,FALSE)</f>
        <v>923.37261936847176</v>
      </c>
      <c r="AZ17" s="30">
        <f>VLOOKUP(AZ$9,[2]PC!$C$133:$T$184,9,FALSE)</f>
        <v>46.37140490782145</v>
      </c>
      <c r="BA17" s="30">
        <f>VLOOKUP(BA$9,[2]PC!$C$133:$T$184,9,FALSE)</f>
        <v>722.69284882083798</v>
      </c>
      <c r="BB17" s="30">
        <f>VLOOKUP(BB$9,[2]PC!$C$133:$T$184,9,FALSE)</f>
        <v>1471.1030000000001</v>
      </c>
      <c r="BC17" s="30">
        <f>VLOOKUP(BC$9,[2]PC!$C$133:$T$184,9,FALSE)</f>
        <v>601.14</v>
      </c>
      <c r="BD17" s="33">
        <f t="shared" si="73"/>
        <v>1109.855</v>
      </c>
      <c r="BE17" s="30">
        <f>VLOOKUP(BE$9,[2]PC!$C$133:$T$184,9,FALSE)</f>
        <v>241.41499999999999</v>
      </c>
      <c r="BF17" s="30">
        <f>VLOOKUP(BF$9,[2]PC!$C$133:$T$184,9,FALSE)</f>
        <v>158.55699999999999</v>
      </c>
      <c r="BG17" s="30">
        <f>VLOOKUP(BG$9,[2]PC!$C$133:$T$184,9,FALSE)</f>
        <v>12.084</v>
      </c>
      <c r="BH17" s="30">
        <f>VLOOKUP(BH$9,[2]PC!$C$133:$T$184,9,FALSE)</f>
        <v>391.59800000000001</v>
      </c>
      <c r="BI17" s="30">
        <f>VLOOKUP(BI$9,[2]PC!$C$133:$T$184,9,FALSE)</f>
        <v>306.20100000000014</v>
      </c>
      <c r="BJ17" s="33">
        <f t="shared" si="74"/>
        <v>8765.8989999999994</v>
      </c>
      <c r="BK17" s="30">
        <f>VLOOKUP(BK$9,[2]PC!$C$133:$T$184,9,FALSE)</f>
        <v>6768.6329999999998</v>
      </c>
      <c r="BL17" s="30">
        <f>VLOOKUP(BL$9,[2]PC!$C$133:$T$184,9,FALSE)</f>
        <v>1997.2660000000001</v>
      </c>
      <c r="BM17" s="33">
        <f t="shared" si="75"/>
        <v>3513.8940000000002</v>
      </c>
      <c r="BN17" s="30">
        <f>VLOOKUP(BN$9,[2]PC!$C$133:$T$184,9,FALSE)</f>
        <v>783.19899999999996</v>
      </c>
      <c r="BO17" s="30">
        <f>VLOOKUP(BO$9,[2]PC!$C$133:$T$184,9,FALSE)</f>
        <v>2730.6950000000002</v>
      </c>
      <c r="BP17" s="49">
        <f t="shared" si="76"/>
        <v>5439.7250000000004</v>
      </c>
      <c r="BQ17" s="30">
        <f>VLOOKUP(BQ$9,[2]PC!$C$133:$T$184,9,FALSE)</f>
        <v>1132.2530000000004</v>
      </c>
      <c r="BR17" s="30">
        <f>VLOOKUP(BR$9,[2]PC!$C$133:$T$184,9,FALSE)</f>
        <v>1136.29</v>
      </c>
      <c r="BS17" s="30">
        <f>VLOOKUP(BS$9,[2]PC!$C$133:$T$184,9,FALSE)</f>
        <v>1266.3219999999999</v>
      </c>
      <c r="BT17" s="30">
        <f>VLOOKUP(BT$9,[2]PC!$C$133:$T$184,9,FALSE)</f>
        <v>1904.8600000000001</v>
      </c>
      <c r="BU17" s="52"/>
      <c r="BV17" s="52"/>
    </row>
    <row r="18" spans="1:74" ht="15" customHeight="1">
      <c r="A18" s="10">
        <v>2001</v>
      </c>
      <c r="B18" s="33">
        <f t="shared" si="77"/>
        <v>83099.493000000017</v>
      </c>
      <c r="C18" s="31">
        <f>ROUND([3]QRE01!$M$44/1000,3)</f>
        <v>1836.3009999999999</v>
      </c>
      <c r="D18" s="30">
        <f>(ROUND([3]QRE01!$M$43/1000,3))*-1</f>
        <v>5558.5360000000001</v>
      </c>
      <c r="E18" s="33">
        <f t="shared" si="78"/>
        <v>86821.728000000017</v>
      </c>
      <c r="F18" s="39">
        <f>[2]Durabilidade_PC!$L$6+[2]Durabilidade_PC!$L$7</f>
        <v>10578.691999999999</v>
      </c>
      <c r="G18" s="39">
        <f>[2]Durabilidade_PC!$L$8+[2]Durabilidade_PC!$L$9</f>
        <v>76243.035999999993</v>
      </c>
      <c r="H18" s="30">
        <f t="shared" si="64"/>
        <v>14783.322</v>
      </c>
      <c r="I18" s="30">
        <f>VLOOKUP(I$9,[2]PC!$C$133:$T$184,10,FALSE)</f>
        <v>13912.536</v>
      </c>
      <c r="J18" s="30">
        <f>VLOOKUP(J$9,[2]PC!$C$133:$T$184,10,FALSE)</f>
        <v>870.78599999999994</v>
      </c>
      <c r="K18" s="30">
        <f>VLOOKUP(K$9,[2]PC!$C$133:$T$184,10,FALSE)</f>
        <v>0</v>
      </c>
      <c r="L18" s="33">
        <f t="shared" si="65"/>
        <v>3062.5030000000002</v>
      </c>
      <c r="M18" s="30">
        <f>VLOOKUP(M$9,[2]PC!$C$133:$T$184,10,FALSE)</f>
        <v>1223.0619999999999</v>
      </c>
      <c r="N18" s="30">
        <f>VLOOKUP(N$9,[2]PC!$C$133:$T$184,10,FALSE)</f>
        <v>0</v>
      </c>
      <c r="O18" s="30">
        <f>VLOOKUP(O$9,[2]PC!$C$133:$T$184,10,FALSE)</f>
        <v>1758.6050000000002</v>
      </c>
      <c r="P18" s="30">
        <f>VLOOKUP(P$9,[2]PC!$C$133:$T$184,10,FALSE)</f>
        <v>80.835999999999999</v>
      </c>
      <c r="Q18" s="33">
        <f t="shared" si="66"/>
        <v>5581.6509999999998</v>
      </c>
      <c r="R18" s="30">
        <f>VLOOKUP(R$9,[2]PC!$C$133:$T$184,10,FALSE)</f>
        <v>4543.0859999999993</v>
      </c>
      <c r="S18" s="30">
        <f>VLOOKUP(S$9,[2]PC!$C$133:$T$184,10,FALSE)</f>
        <v>1038.5650000000001</v>
      </c>
      <c r="T18" s="33">
        <f t="shared" si="67"/>
        <v>10929.230289297064</v>
      </c>
      <c r="U18" s="30">
        <f>VLOOKUP(U$9,[2]PC!$C$133:$T$184,10,FALSE)</f>
        <v>2076.85</v>
      </c>
      <c r="V18" s="30">
        <f>VLOOKUP(V$9,[2]PC!$C$133:$T$184,10,FALSE)</f>
        <v>5778.1319999999996</v>
      </c>
      <c r="W18" s="30">
        <f>VLOOKUP(W$9,[2]PC!$C$133:$T$184,10,FALSE)</f>
        <v>269.54863347480784</v>
      </c>
      <c r="X18" s="30">
        <f>VLOOKUP(X$9,[2]PC!$C$133:$T$184,10,FALSE)</f>
        <v>495.73165582225778</v>
      </c>
      <c r="Y18" s="30">
        <f>VLOOKUP(Y$9,[2]PC!$C$133:$T$184,10,FALSE)</f>
        <v>2308.9679999999994</v>
      </c>
      <c r="Z18" s="33">
        <f t="shared" si="68"/>
        <v>5585.7937107029347</v>
      </c>
      <c r="AA18" s="30">
        <f>VLOOKUP(AA$9,[2]PC!$C$133:$T$184,10,FALSE)</f>
        <v>1697.0034802469843</v>
      </c>
      <c r="AB18" s="30">
        <f>VLOOKUP(AB$9,[2]PC!$C$133:$T$184,10,FALSE)</f>
        <v>557.03599999999994</v>
      </c>
      <c r="AC18" s="30">
        <f>VLOOKUP(AC$9,[2]PC!$C$133:$T$184,10,FALSE)</f>
        <v>1075.6789318192364</v>
      </c>
      <c r="AD18" s="30">
        <f>VLOOKUP(AD$9,[2]PC!$C$133:$T$184,10,FALSE)</f>
        <v>513.2130681807638</v>
      </c>
      <c r="AE18" s="30">
        <f>VLOOKUP(AE$9,[2]PC!$C$133:$T$184,10,FALSE)</f>
        <v>49.906230455950116</v>
      </c>
      <c r="AF18" s="30">
        <f>VLOOKUP(AF$9,[2]PC!$C$133:$T$184,10,FALSE)</f>
        <v>1692.9560000000001</v>
      </c>
      <c r="AG18" s="33">
        <f t="shared" si="69"/>
        <v>3747.1849999999999</v>
      </c>
      <c r="AH18" s="30">
        <f>VLOOKUP(AH$9,[2]PC!$C$133:$T$184,10,FALSE)</f>
        <v>1650.1687225759567</v>
      </c>
      <c r="AI18" s="30">
        <f>VLOOKUP(AI$9,[2]PC!$C$133:$T$184,10,FALSE)</f>
        <v>1778.2534774240432</v>
      </c>
      <c r="AJ18" s="30">
        <f>VLOOKUP(AJ$9,[2]PC!$C$133:$T$184,10,FALSE)</f>
        <v>227.959</v>
      </c>
      <c r="AK18" s="30">
        <f>VLOOKUP(AK$9,[2]PC!$C$133:$T$184,10,FALSE)</f>
        <v>90.80380000000001</v>
      </c>
      <c r="AL18" s="33">
        <f t="shared" si="70"/>
        <v>14181.632</v>
      </c>
      <c r="AM18" s="30">
        <f>VLOOKUP(AM$9,[2]PC!$C$133:$T$184,10,FALSE)</f>
        <v>5764.0659999999998</v>
      </c>
      <c r="AN18" s="30">
        <f>VLOOKUP(AN$9,[2]PC!$C$133:$T$184,10,FALSE)</f>
        <v>6815.1260000000002</v>
      </c>
      <c r="AO18" s="30">
        <f>VLOOKUP(AO$9,[2]PC!$C$133:$T$184,10,FALSE)</f>
        <v>1438.6733623952236</v>
      </c>
      <c r="AP18" s="30">
        <f>VLOOKUP(AP$9,[2]PC!$C$133:$T$184,10,FALSE)</f>
        <v>163.76663760477638</v>
      </c>
      <c r="AQ18" s="33">
        <f t="shared" si="71"/>
        <v>3501.406014502857</v>
      </c>
      <c r="AR18" s="30">
        <f>VLOOKUP(AR$9,[2]PC!$C$133:$T$184,10,FALSE)</f>
        <v>730.36599999999999</v>
      </c>
      <c r="AS18" s="30">
        <f>VLOOKUP(AS$9,[2]PC!$C$133:$T$184,10,FALSE)</f>
        <v>3.9278960867557262</v>
      </c>
      <c r="AT18" s="30">
        <f>VLOOKUP(AT$9,[2]PC!$C$133:$T$184,10,FALSE)</f>
        <v>2767.1121184161011</v>
      </c>
      <c r="AU18" s="33">
        <f t="shared" si="72"/>
        <v>5581.7719854971438</v>
      </c>
      <c r="AV18" s="30">
        <f>VLOOKUP(AV$9,[2]PC!$C$133:$T$184,10,FALSE)</f>
        <v>751.51780153710513</v>
      </c>
      <c r="AW18" s="30">
        <f>VLOOKUP(AW$9,[2]PC!$C$133:$T$184,10,FALSE)</f>
        <v>372.49739130818125</v>
      </c>
      <c r="AX18" s="30">
        <f>VLOOKUP(AX$9,[2]PC!$C$133:$T$184,10,FALSE)</f>
        <v>640.96389737981826</v>
      </c>
      <c r="AY18" s="30">
        <f>VLOOKUP(AY$9,[2]PC!$C$133:$T$184,10,FALSE)</f>
        <v>962.23688990231244</v>
      </c>
      <c r="AZ18" s="30">
        <f>VLOOKUP(AZ$9,[2]PC!$C$133:$T$184,10,FALSE)</f>
        <v>50.642302376138979</v>
      </c>
      <c r="BA18" s="30">
        <f>VLOOKUP(BA$9,[2]PC!$C$133:$T$184,10,FALSE)</f>
        <v>754.51870299358723</v>
      </c>
      <c r="BB18" s="30">
        <f>VLOOKUP(BB$9,[2]PC!$C$133:$T$184,10,FALSE)</f>
        <v>1452.846</v>
      </c>
      <c r="BC18" s="30">
        <f>VLOOKUP(BC$9,[2]PC!$C$133:$T$184,10,FALSE)</f>
        <v>596.54899999999998</v>
      </c>
      <c r="BD18" s="33">
        <f t="shared" si="73"/>
        <v>1183.07</v>
      </c>
      <c r="BE18" s="30">
        <f>VLOOKUP(BE$9,[2]PC!$C$133:$T$184,10,FALSE)</f>
        <v>266.27</v>
      </c>
      <c r="BF18" s="30">
        <f>VLOOKUP(BF$9,[2]PC!$C$133:$T$184,10,FALSE)</f>
        <v>167.00599999999997</v>
      </c>
      <c r="BG18" s="30">
        <f>VLOOKUP(BG$9,[2]PC!$C$133:$T$184,10,FALSE)</f>
        <v>10.913</v>
      </c>
      <c r="BH18" s="30">
        <f>VLOOKUP(BH$9,[2]PC!$C$133:$T$184,10,FALSE)</f>
        <v>415.54700000000003</v>
      </c>
      <c r="BI18" s="30">
        <f>VLOOKUP(BI$9,[2]PC!$C$133:$T$184,10,FALSE)</f>
        <v>323.33399999999995</v>
      </c>
      <c r="BJ18" s="33">
        <f t="shared" si="74"/>
        <v>9389.0960000000014</v>
      </c>
      <c r="BK18" s="30">
        <f>VLOOKUP(BK$9,[2]PC!$C$133:$T$184,10,FALSE)</f>
        <v>7314.1</v>
      </c>
      <c r="BL18" s="30">
        <f>VLOOKUP(BL$9,[2]PC!$C$133:$T$184,10,FALSE)</f>
        <v>2074.9960000000001</v>
      </c>
      <c r="BM18" s="33">
        <f t="shared" si="75"/>
        <v>3775.4259999999999</v>
      </c>
      <c r="BN18" s="30">
        <f>VLOOKUP(BN$9,[2]PC!$C$133:$T$184,10,FALSE)</f>
        <v>921.22500000000002</v>
      </c>
      <c r="BO18" s="30">
        <f>VLOOKUP(BO$9,[2]PC!$C$133:$T$184,10,FALSE)</f>
        <v>2854.201</v>
      </c>
      <c r="BP18" s="49">
        <f t="shared" si="76"/>
        <v>5519.6409999999978</v>
      </c>
      <c r="BQ18" s="30">
        <f>VLOOKUP(BQ$9,[2]PC!$C$133:$T$184,10,FALSE)</f>
        <v>1288.111999999998</v>
      </c>
      <c r="BR18" s="30">
        <f>VLOOKUP(BR$9,[2]PC!$C$133:$T$184,10,FALSE)</f>
        <v>1125.769</v>
      </c>
      <c r="BS18" s="30">
        <f>VLOOKUP(BS$9,[2]PC!$C$133:$T$184,10,FALSE)</f>
        <v>1215.5909999999999</v>
      </c>
      <c r="BT18" s="30">
        <f>VLOOKUP(BT$9,[2]PC!$C$133:$T$184,10,FALSE)</f>
        <v>1890.1690000000003</v>
      </c>
      <c r="BU18" s="52"/>
      <c r="BV18" s="52"/>
    </row>
    <row r="19" spans="1:74" ht="15" customHeight="1">
      <c r="A19" s="10">
        <v>2002</v>
      </c>
      <c r="B19" s="33">
        <f t="shared" si="77"/>
        <v>87063.909999999989</v>
      </c>
      <c r="C19" s="31">
        <f>ROUND([3]QRE02!$M$44/1000,3)</f>
        <v>1722.557</v>
      </c>
      <c r="D19" s="30">
        <f>(ROUND([3]QRE02!$M$43/1000,3))*-1</f>
        <v>5530.4579999999996</v>
      </c>
      <c r="E19" s="33">
        <f t="shared" si="78"/>
        <v>90871.810999999987</v>
      </c>
      <c r="F19" s="39">
        <f>[2]Durabilidade_PC!$M$6+[2]Durabilidade_PC!$M$7</f>
        <v>10383.033000000001</v>
      </c>
      <c r="G19" s="39">
        <f>[2]Durabilidade_PC!$M$8+[2]Durabilidade_PC!$M$9</f>
        <v>80488.778000000035</v>
      </c>
      <c r="H19" s="30">
        <f t="shared" si="64"/>
        <v>15237.919</v>
      </c>
      <c r="I19" s="30">
        <f>VLOOKUP(I$9,[2]PC!$C$133:$T$184,11,FALSE)</f>
        <v>14364.34</v>
      </c>
      <c r="J19" s="30">
        <f>VLOOKUP(J$9,[2]PC!$C$133:$T$184,11,FALSE)</f>
        <v>873.57899999999995</v>
      </c>
      <c r="K19" s="30">
        <f>VLOOKUP(K$9,[2]PC!$C$133:$T$184,11,FALSE)</f>
        <v>0</v>
      </c>
      <c r="L19" s="33">
        <f t="shared" si="65"/>
        <v>3240.7190000000001</v>
      </c>
      <c r="M19" s="30">
        <f>VLOOKUP(M$9,[2]PC!$C$133:$T$184,11,FALSE)</f>
        <v>1270.194</v>
      </c>
      <c r="N19" s="30">
        <f>VLOOKUP(N$9,[2]PC!$C$133:$T$184,11,FALSE)</f>
        <v>0</v>
      </c>
      <c r="O19" s="30">
        <f>VLOOKUP(O$9,[2]PC!$C$133:$T$184,11,FALSE)</f>
        <v>1886.0060000000001</v>
      </c>
      <c r="P19" s="30">
        <f>VLOOKUP(P$9,[2]PC!$C$133:$T$184,11,FALSE)</f>
        <v>84.519000000000005</v>
      </c>
      <c r="Q19" s="33">
        <f t="shared" si="66"/>
        <v>6122.5919999999996</v>
      </c>
      <c r="R19" s="30">
        <f>VLOOKUP(R$9,[2]PC!$C$133:$T$184,11,FALSE)</f>
        <v>4965.1269999999995</v>
      </c>
      <c r="S19" s="30">
        <f>VLOOKUP(S$9,[2]PC!$C$133:$T$184,11,FALSE)</f>
        <v>1157.4649999999999</v>
      </c>
      <c r="T19" s="33">
        <f t="shared" si="67"/>
        <v>11906.530058563198</v>
      </c>
      <c r="U19" s="30">
        <f>VLOOKUP(U$9,[2]PC!$C$133:$T$184,11,FALSE)</f>
        <v>2255.8909999999992</v>
      </c>
      <c r="V19" s="30">
        <f>VLOOKUP(V$9,[2]PC!$C$133:$T$184,11,FALSE)</f>
        <v>6407.0240000000003</v>
      </c>
      <c r="W19" s="30">
        <f>VLOOKUP(W$9,[2]PC!$C$133:$T$184,11,FALSE)</f>
        <v>286.00557021096665</v>
      </c>
      <c r="X19" s="30">
        <f>VLOOKUP(X$9,[2]PC!$C$133:$T$184,11,FALSE)</f>
        <v>514.20448835223272</v>
      </c>
      <c r="Y19" s="30">
        <f>VLOOKUP(Y$9,[2]PC!$C$133:$T$184,11,FALSE)</f>
        <v>2443.4050000000002</v>
      </c>
      <c r="Z19" s="33">
        <f t="shared" si="68"/>
        <v>5991.1569414368005</v>
      </c>
      <c r="AA19" s="30">
        <f>VLOOKUP(AA$9,[2]PC!$C$133:$T$184,11,FALSE)</f>
        <v>1610.2437936814576</v>
      </c>
      <c r="AB19" s="30">
        <f>VLOOKUP(AB$9,[2]PC!$C$133:$T$184,11,FALSE)</f>
        <v>570.20100000000002</v>
      </c>
      <c r="AC19" s="30">
        <f>VLOOKUP(AC$9,[2]PC!$C$133:$T$184,11,FALSE)</f>
        <v>1144.4080424045876</v>
      </c>
      <c r="AD19" s="30">
        <f>VLOOKUP(AD$9,[2]PC!$C$133:$T$184,11,FALSE)</f>
        <v>520.53595759541247</v>
      </c>
      <c r="AE19" s="30">
        <f>VLOOKUP(AE$9,[2]PC!$C$133:$T$184,11,FALSE)</f>
        <v>54.533147755342767</v>
      </c>
      <c r="AF19" s="30">
        <f>VLOOKUP(AF$9,[2]PC!$C$133:$T$184,11,FALSE)</f>
        <v>2091.2350000000001</v>
      </c>
      <c r="AG19" s="33">
        <f t="shared" si="69"/>
        <v>4025.6979999999994</v>
      </c>
      <c r="AH19" s="30">
        <f>VLOOKUP(AH$9,[2]PC!$C$133:$T$184,11,FALSE)</f>
        <v>1793.3855207015267</v>
      </c>
      <c r="AI19" s="30">
        <f>VLOOKUP(AI$9,[2]PC!$C$133:$T$184,11,FALSE)</f>
        <v>1898.758329298473</v>
      </c>
      <c r="AJ19" s="30">
        <f>VLOOKUP(AJ$9,[2]PC!$C$133:$T$184,11,FALSE)</f>
        <v>236.65</v>
      </c>
      <c r="AK19" s="30">
        <f>VLOOKUP(AK$9,[2]PC!$C$133:$T$184,11,FALSE)</f>
        <v>96.904150000000016</v>
      </c>
      <c r="AL19" s="33">
        <f t="shared" si="70"/>
        <v>14163.558999999999</v>
      </c>
      <c r="AM19" s="30">
        <f>VLOOKUP(AM$9,[2]PC!$C$133:$T$184,11,FALSE)</f>
        <v>5510.9440000000004</v>
      </c>
      <c r="AN19" s="30">
        <f>VLOOKUP(AN$9,[2]PC!$C$133:$T$184,11,FALSE)</f>
        <v>6989.28</v>
      </c>
      <c r="AO19" s="30">
        <f>VLOOKUP(AO$9,[2]PC!$C$133:$T$184,11,FALSE)</f>
        <v>1494.1498579789354</v>
      </c>
      <c r="AP19" s="30">
        <f>VLOOKUP(AP$9,[2]PC!$C$133:$T$184,11,FALSE)</f>
        <v>169.18514202106462</v>
      </c>
      <c r="AQ19" s="33">
        <f t="shared" si="71"/>
        <v>3800.0713514568279</v>
      </c>
      <c r="AR19" s="30">
        <f>VLOOKUP(AR$9,[2]PC!$C$133:$T$184,11,FALSE)</f>
        <v>746.17499999999995</v>
      </c>
      <c r="AS19" s="30">
        <f>VLOOKUP(AS$9,[2]PC!$C$133:$T$184,11,FALSE)</f>
        <v>3.989715108203157</v>
      </c>
      <c r="AT19" s="30">
        <f>VLOOKUP(AT$9,[2]PC!$C$133:$T$184,11,FALSE)</f>
        <v>3049.9066363486245</v>
      </c>
      <c r="AU19" s="33">
        <f t="shared" si="72"/>
        <v>5707.8286485431727</v>
      </c>
      <c r="AV19" s="30">
        <f>VLOOKUP(AV$9,[2]PC!$C$133:$T$184,11,FALSE)</f>
        <v>766.54467080839686</v>
      </c>
      <c r="AW19" s="30">
        <f>VLOOKUP(AW$9,[2]PC!$C$133:$T$184,11,FALSE)</f>
        <v>385.11555446258285</v>
      </c>
      <c r="AX19" s="30">
        <f>VLOOKUP(AX$9,[2]PC!$C$133:$T$184,11,FALSE)</f>
        <v>662.67622939056344</v>
      </c>
      <c r="AY19" s="30">
        <f>VLOOKUP(AY$9,[2]PC!$C$133:$T$184,11,FALSE)</f>
        <v>1008.4856594818903</v>
      </c>
      <c r="AZ19" s="30">
        <f>VLOOKUP(AZ$9,[2]PC!$C$133:$T$184,11,FALSE)</f>
        <v>55.407614083399665</v>
      </c>
      <c r="BA19" s="30">
        <f>VLOOKUP(BA$9,[2]PC!$C$133:$T$184,11,FALSE)</f>
        <v>792.14692031633967</v>
      </c>
      <c r="BB19" s="30">
        <f>VLOOKUP(BB$9,[2]PC!$C$133:$T$184,11,FALSE)</f>
        <v>1442.223</v>
      </c>
      <c r="BC19" s="30">
        <f>VLOOKUP(BC$9,[2]PC!$C$133:$T$184,11,FALSE)</f>
        <v>595.22900000000004</v>
      </c>
      <c r="BD19" s="33">
        <f t="shared" si="73"/>
        <v>1248.9229999999998</v>
      </c>
      <c r="BE19" s="30">
        <f>VLOOKUP(BE$9,[2]PC!$C$133:$T$184,11,FALSE)</f>
        <v>284.54399999999998</v>
      </c>
      <c r="BF19" s="30">
        <f>VLOOKUP(BF$9,[2]PC!$C$133:$T$184,11,FALSE)</f>
        <v>172.92000000000002</v>
      </c>
      <c r="BG19" s="30">
        <f>VLOOKUP(BG$9,[2]PC!$C$133:$T$184,11,FALSE)</f>
        <v>9.4429999999999996</v>
      </c>
      <c r="BH19" s="30">
        <f>VLOOKUP(BH$9,[2]PC!$C$133:$T$184,11,FALSE)</f>
        <v>448.08600000000001</v>
      </c>
      <c r="BI19" s="30">
        <f>VLOOKUP(BI$9,[2]PC!$C$133:$T$184,11,FALSE)</f>
        <v>333.92999999999995</v>
      </c>
      <c r="BJ19" s="33">
        <f t="shared" si="74"/>
        <v>9802.0869999999995</v>
      </c>
      <c r="BK19" s="30">
        <f>VLOOKUP(BK$9,[2]PC!$C$133:$T$184,11,FALSE)</f>
        <v>7702.91</v>
      </c>
      <c r="BL19" s="30">
        <f>VLOOKUP(BL$9,[2]PC!$C$133:$T$184,11,FALSE)</f>
        <v>2099.1770000000001</v>
      </c>
      <c r="BM19" s="33">
        <f t="shared" si="75"/>
        <v>4038.34</v>
      </c>
      <c r="BN19" s="30">
        <f>VLOOKUP(BN$9,[2]PC!$C$133:$T$184,11,FALSE)</f>
        <v>1065.347</v>
      </c>
      <c r="BO19" s="30">
        <f>VLOOKUP(BO$9,[2]PC!$C$133:$T$184,11,FALSE)</f>
        <v>2972.9929999999999</v>
      </c>
      <c r="BP19" s="49">
        <f t="shared" si="76"/>
        <v>5586.3870000000006</v>
      </c>
      <c r="BQ19" s="30">
        <f>VLOOKUP(BQ$9,[2]PC!$C$133:$T$184,11,FALSE)</f>
        <v>1459.9870000000008</v>
      </c>
      <c r="BR19" s="30">
        <f>VLOOKUP(BR$9,[2]PC!$C$133:$T$184,11,FALSE)</f>
        <v>1108.7919999999999</v>
      </c>
      <c r="BS19" s="30">
        <f>VLOOKUP(BS$9,[2]PC!$C$133:$T$184,11,FALSE)</f>
        <v>1154.8330000000001</v>
      </c>
      <c r="BT19" s="30">
        <f>VLOOKUP(BT$9,[2]PC!$C$133:$T$184,11,FALSE)</f>
        <v>1862.7749999999999</v>
      </c>
      <c r="BU19" s="52"/>
      <c r="BV19" s="52"/>
    </row>
    <row r="20" spans="1:74" ht="15" customHeight="1">
      <c r="A20" s="10">
        <v>2003</v>
      </c>
      <c r="B20" s="33">
        <f t="shared" si="77"/>
        <v>89898.68</v>
      </c>
      <c r="C20" s="31">
        <f>ROUND([3]QRE03!$M$44/1000,3)</f>
        <v>1610.5909999999999</v>
      </c>
      <c r="D20" s="30">
        <f>(ROUND([3]QRE03!$M$43/1000,3))*-1</f>
        <v>5308.2049999999999</v>
      </c>
      <c r="E20" s="33">
        <f t="shared" si="78"/>
        <v>93596.293999999994</v>
      </c>
      <c r="F20" s="39">
        <f>[2]Durabilidade_PC!$N$6+[2]Durabilidade_PC!$N$7</f>
        <v>9667.98</v>
      </c>
      <c r="G20" s="39">
        <f>[2]Durabilidade_PC!$N$8+[2]Durabilidade_PC!$N$9</f>
        <v>83928.314000000013</v>
      </c>
      <c r="H20" s="30">
        <f t="shared" si="64"/>
        <v>15761.196</v>
      </c>
      <c r="I20" s="30">
        <f>VLOOKUP(I$9,[2]PC!$C$133:$T$184,12,FALSE)</f>
        <v>14882.427</v>
      </c>
      <c r="J20" s="30">
        <f>VLOOKUP(J$9,[2]PC!$C$133:$T$184,12,FALSE)</f>
        <v>878.76900000000001</v>
      </c>
      <c r="K20" s="30">
        <f>VLOOKUP(K$9,[2]PC!$C$133:$T$184,12,FALSE)</f>
        <v>0</v>
      </c>
      <c r="L20" s="33">
        <f t="shared" si="65"/>
        <v>3488.9110000000001</v>
      </c>
      <c r="M20" s="30">
        <f>VLOOKUP(M$9,[2]PC!$C$133:$T$184,12,FALSE)</f>
        <v>1338.172</v>
      </c>
      <c r="N20" s="30">
        <f>VLOOKUP(N$9,[2]PC!$C$133:$T$184,12,FALSE)</f>
        <v>0</v>
      </c>
      <c r="O20" s="30">
        <f>VLOOKUP(O$9,[2]PC!$C$133:$T$184,12,FALSE)</f>
        <v>2051.4120000000003</v>
      </c>
      <c r="P20" s="30">
        <f>VLOOKUP(P$9,[2]PC!$C$133:$T$184,12,FALSE)</f>
        <v>99.326999999999998</v>
      </c>
      <c r="Q20" s="33">
        <f t="shared" si="66"/>
        <v>6158.451</v>
      </c>
      <c r="R20" s="30">
        <f>VLOOKUP(R$9,[2]PC!$C$133:$T$184,12,FALSE)</f>
        <v>4974.72</v>
      </c>
      <c r="S20" s="30">
        <f>VLOOKUP(S$9,[2]PC!$C$133:$T$184,12,FALSE)</f>
        <v>1183.731</v>
      </c>
      <c r="T20" s="33">
        <f t="shared" si="67"/>
        <v>12930.446355076923</v>
      </c>
      <c r="U20" s="30">
        <f>VLOOKUP(U$9,[2]PC!$C$133:$T$184,12,FALSE)</f>
        <v>2408.2919999999995</v>
      </c>
      <c r="V20" s="30">
        <f>VLOOKUP(V$9,[2]PC!$C$133:$T$184,12,FALSE)</f>
        <v>6992.8190000000004</v>
      </c>
      <c r="W20" s="30">
        <f>VLOOKUP(W$9,[2]PC!$C$133:$T$184,12,FALSE)</f>
        <v>292.82253170017975</v>
      </c>
      <c r="X20" s="30">
        <f>VLOOKUP(X$9,[2]PC!$C$133:$T$184,12,FALSE)</f>
        <v>615.04882337674235</v>
      </c>
      <c r="Y20" s="30">
        <f>VLOOKUP(Y$9,[2]PC!$C$133:$T$184,12,FALSE)</f>
        <v>2621.4639999999995</v>
      </c>
      <c r="Z20" s="33">
        <f t="shared" si="68"/>
        <v>6046.202644923078</v>
      </c>
      <c r="AA20" s="30">
        <f>VLOOKUP(AA$9,[2]PC!$C$133:$T$184,12,FALSE)</f>
        <v>1534.6783392897194</v>
      </c>
      <c r="AB20" s="30">
        <f>VLOOKUP(AB$9,[2]PC!$C$133:$T$184,12,FALSE)</f>
        <v>548.29100000000005</v>
      </c>
      <c r="AC20" s="30">
        <f>VLOOKUP(AC$9,[2]PC!$C$133:$T$184,12,FALSE)</f>
        <v>1146.1963513332639</v>
      </c>
      <c r="AD20" s="30">
        <f>VLOOKUP(AD$9,[2]PC!$C$133:$T$184,12,FALSE)</f>
        <v>495.45564866673624</v>
      </c>
      <c r="AE20" s="30">
        <f>VLOOKUP(AE$9,[2]PC!$C$133:$T$184,12,FALSE)</f>
        <v>56.079305633358743</v>
      </c>
      <c r="AF20" s="30">
        <f>VLOOKUP(AF$9,[2]PC!$C$133:$T$184,12,FALSE)</f>
        <v>2265.5019999999995</v>
      </c>
      <c r="AG20" s="33">
        <f t="shared" si="69"/>
        <v>4289.085</v>
      </c>
      <c r="AH20" s="30">
        <f>VLOOKUP(AH$9,[2]PC!$C$133:$T$184,12,FALSE)</f>
        <v>1927.3842785918935</v>
      </c>
      <c r="AI20" s="30">
        <f>VLOOKUP(AI$9,[2]PC!$C$133:$T$184,12,FALSE)</f>
        <v>2014.9857714081063</v>
      </c>
      <c r="AJ20" s="30">
        <f>VLOOKUP(AJ$9,[2]PC!$C$133:$T$184,12,FALSE)</f>
        <v>243.92</v>
      </c>
      <c r="AK20" s="30">
        <f>VLOOKUP(AK$9,[2]PC!$C$133:$T$184,12,FALSE)</f>
        <v>102.79495</v>
      </c>
      <c r="AL20" s="33">
        <f t="shared" si="70"/>
        <v>13870.097999999998</v>
      </c>
      <c r="AM20" s="30">
        <f>VLOOKUP(AM$9,[2]PC!$C$133:$T$184,12,FALSE)</f>
        <v>4817.5919999999996</v>
      </c>
      <c r="AN20" s="30">
        <f>VLOOKUP(AN$9,[2]PC!$C$133:$T$184,12,FALSE)</f>
        <v>7374.9709999999995</v>
      </c>
      <c r="AO20" s="30">
        <f>VLOOKUP(AO$9,[2]PC!$C$133:$T$184,12,FALSE)</f>
        <v>1514.581742180754</v>
      </c>
      <c r="AP20" s="30">
        <f>VLOOKUP(AP$9,[2]PC!$C$133:$T$184,12,FALSE)</f>
        <v>162.95325781924595</v>
      </c>
      <c r="AQ20" s="33">
        <f t="shared" si="71"/>
        <v>3902.8284392749192</v>
      </c>
      <c r="AR20" s="30">
        <f>VLOOKUP(AR$9,[2]PC!$C$133:$T$184,12,FALSE)</f>
        <v>734.26250000000005</v>
      </c>
      <c r="AS20" s="30">
        <f>VLOOKUP(AS$9,[2]PC!$C$133:$T$184,12,FALSE)</f>
        <v>3.9038736778257008</v>
      </c>
      <c r="AT20" s="30">
        <f>VLOOKUP(AT$9,[2]PC!$C$133:$T$184,12,FALSE)</f>
        <v>3164.6620655970937</v>
      </c>
      <c r="AU20" s="33">
        <f t="shared" si="72"/>
        <v>5727.4935607250791</v>
      </c>
      <c r="AV20" s="30">
        <f>VLOOKUP(AV$9,[2]PC!$C$133:$T$184,12,FALSE)</f>
        <v>753.89684493999312</v>
      </c>
      <c r="AW20" s="30">
        <f>VLOOKUP(AW$9,[2]PC!$C$133:$T$184,12,FALSE)</f>
        <v>388.61167396016674</v>
      </c>
      <c r="AX20" s="30">
        <f>VLOOKUP(AX$9,[2]PC!$C$133:$T$184,12,FALSE)</f>
        <v>668.69207388012376</v>
      </c>
      <c r="AY20" s="30">
        <f>VLOOKUP(AY$9,[2]PC!$C$133:$T$184,12,FALSE)</f>
        <v>1041.0579743553315</v>
      </c>
      <c r="AZ20" s="30">
        <f>VLOOKUP(AZ$9,[2]PC!$C$133:$T$184,12,FALSE)</f>
        <v>58.984781382181055</v>
      </c>
      <c r="BA20" s="30">
        <f>VLOOKUP(BA$9,[2]PC!$C$133:$T$184,12,FALSE)</f>
        <v>820.03821220728344</v>
      </c>
      <c r="BB20" s="30">
        <f>VLOOKUP(BB$9,[2]PC!$C$133:$T$184,12,FALSE)</f>
        <v>1396.854</v>
      </c>
      <c r="BC20" s="30">
        <f>VLOOKUP(BC$9,[2]PC!$C$133:$T$184,12,FALSE)</f>
        <v>599.35799999999995</v>
      </c>
      <c r="BD20" s="33">
        <f t="shared" si="73"/>
        <v>1300.1189999999999</v>
      </c>
      <c r="BE20" s="30">
        <f>VLOOKUP(BE$9,[2]PC!$C$133:$T$184,12,FALSE)</f>
        <v>299.73200000000003</v>
      </c>
      <c r="BF20" s="30">
        <f>VLOOKUP(BF$9,[2]PC!$C$133:$T$184,12,FALSE)</f>
        <v>174.96199999999999</v>
      </c>
      <c r="BG20" s="30">
        <f>VLOOKUP(BG$9,[2]PC!$C$133:$T$184,12,FALSE)</f>
        <v>7.6660000000000004</v>
      </c>
      <c r="BH20" s="30">
        <f>VLOOKUP(BH$9,[2]PC!$C$133:$T$184,12,FALSE)</f>
        <v>467.12400000000002</v>
      </c>
      <c r="BI20" s="30">
        <f>VLOOKUP(BI$9,[2]PC!$C$133:$T$184,12,FALSE)</f>
        <v>350.63499999999982</v>
      </c>
      <c r="BJ20" s="33">
        <f t="shared" si="74"/>
        <v>9849.0410000000011</v>
      </c>
      <c r="BK20" s="30">
        <f>VLOOKUP(BK$9,[2]PC!$C$133:$T$184,12,FALSE)</f>
        <v>7807.22</v>
      </c>
      <c r="BL20" s="30">
        <f>VLOOKUP(BL$9,[2]PC!$C$133:$T$184,12,FALSE)</f>
        <v>2041.8209999999999</v>
      </c>
      <c r="BM20" s="33">
        <f t="shared" si="75"/>
        <v>4480.0969999999998</v>
      </c>
      <c r="BN20" s="30">
        <f>VLOOKUP(BN$9,[2]PC!$C$133:$T$184,12,FALSE)</f>
        <v>1265.24</v>
      </c>
      <c r="BO20" s="30">
        <f>VLOOKUP(BO$9,[2]PC!$C$133:$T$184,12,FALSE)</f>
        <v>3214.857</v>
      </c>
      <c r="BP20" s="49">
        <f t="shared" si="76"/>
        <v>5792.3250000000007</v>
      </c>
      <c r="BQ20" s="30">
        <f>VLOOKUP(BQ$9,[2]PC!$C$133:$T$184,12,FALSE)</f>
        <v>1665.0900000000013</v>
      </c>
      <c r="BR20" s="30">
        <f>VLOOKUP(BR$9,[2]PC!$C$133:$T$184,12,FALSE)</f>
        <v>1130.675</v>
      </c>
      <c r="BS20" s="30">
        <f>VLOOKUP(BS$9,[2]PC!$C$133:$T$184,12,FALSE)</f>
        <v>1129.597</v>
      </c>
      <c r="BT20" s="30">
        <f>VLOOKUP(BT$9,[2]PC!$C$133:$T$184,12,FALSE)</f>
        <v>1866.9630000000002</v>
      </c>
      <c r="BU20" s="52"/>
      <c r="BV20" s="52"/>
    </row>
    <row r="21" spans="1:74" ht="15" customHeight="1">
      <c r="A21" s="10">
        <v>2004</v>
      </c>
      <c r="B21" s="33">
        <f t="shared" si="77"/>
        <v>94359.505999999994</v>
      </c>
      <c r="C21" s="31">
        <f>ROUND([3]QRE04!$M$44/1000,3)</f>
        <v>1656.69</v>
      </c>
      <c r="D21" s="30">
        <f>(ROUND([3]QRE04!$M$43/1000,3))*-1</f>
        <v>5622.71</v>
      </c>
      <c r="E21" s="33">
        <f t="shared" si="78"/>
        <v>98325.525999999998</v>
      </c>
      <c r="F21" s="39">
        <f>[2]Durabilidade_PC!$O$6+[2]Durabilidade_PC!$O$7</f>
        <v>10361.319</v>
      </c>
      <c r="G21" s="39">
        <f>[2]Durabilidade_PC!$O$8+[2]Durabilidade_PC!$O$9</f>
        <v>87964.20699999998</v>
      </c>
      <c r="H21" s="30">
        <f t="shared" si="64"/>
        <v>16304.485000000001</v>
      </c>
      <c r="I21" s="30">
        <f>VLOOKUP(I$9,[2]PC!$C$133:$T$184,13,FALSE)</f>
        <v>15421.088</v>
      </c>
      <c r="J21" s="30">
        <f>VLOOKUP(J$9,[2]PC!$C$133:$T$184,13,FALSE)</f>
        <v>883.39700000000005</v>
      </c>
      <c r="K21" s="30">
        <f>VLOOKUP(K$9,[2]PC!$C$133:$T$184,13,FALSE)</f>
        <v>0</v>
      </c>
      <c r="L21" s="33">
        <f t="shared" si="65"/>
        <v>3518.4719999999998</v>
      </c>
      <c r="M21" s="30">
        <f>VLOOKUP(M$9,[2]PC!$C$133:$T$184,13,FALSE)</f>
        <v>1314.8520000000001</v>
      </c>
      <c r="N21" s="30">
        <f>VLOOKUP(N$9,[2]PC!$C$133:$T$184,13,FALSE)</f>
        <v>0</v>
      </c>
      <c r="O21" s="30">
        <f>VLOOKUP(O$9,[2]PC!$C$133:$T$184,13,FALSE)</f>
        <v>2085.049</v>
      </c>
      <c r="P21" s="30">
        <f>VLOOKUP(P$9,[2]PC!$C$133:$T$184,13,FALSE)</f>
        <v>118.571</v>
      </c>
      <c r="Q21" s="33">
        <f t="shared" si="66"/>
        <v>6402.9539999999997</v>
      </c>
      <c r="R21" s="30">
        <f>VLOOKUP(R$9,[2]PC!$C$133:$T$184,13,FALSE)</f>
        <v>5152.7069999999994</v>
      </c>
      <c r="S21" s="30">
        <f>VLOOKUP(S$9,[2]PC!$C$133:$T$184,13,FALSE)</f>
        <v>1250.2470000000001</v>
      </c>
      <c r="T21" s="33">
        <f t="shared" si="67"/>
        <v>13803.815193803075</v>
      </c>
      <c r="U21" s="30">
        <f>VLOOKUP(U$9,[2]PC!$C$133:$T$184,13,FALSE)</f>
        <v>2509.1990000000005</v>
      </c>
      <c r="V21" s="30">
        <f>VLOOKUP(V$9,[2]PC!$C$133:$T$184,13,FALSE)</f>
        <v>7475.68</v>
      </c>
      <c r="W21" s="30">
        <f>VLOOKUP(W$9,[2]PC!$C$133:$T$184,13,FALSE)</f>
        <v>300.71382935467784</v>
      </c>
      <c r="X21" s="30">
        <f>VLOOKUP(X$9,[2]PC!$C$133:$T$184,13,FALSE)</f>
        <v>676.12536444839634</v>
      </c>
      <c r="Y21" s="30">
        <f>VLOOKUP(Y$9,[2]PC!$C$133:$T$184,13,FALSE)</f>
        <v>2842.0969999999993</v>
      </c>
      <c r="Z21" s="33">
        <f t="shared" si="68"/>
        <v>6054.0908061969258</v>
      </c>
      <c r="AA21" s="30">
        <f>VLOOKUP(AA$9,[2]PC!$C$133:$T$184,13,FALSE)</f>
        <v>1597.8162655923381</v>
      </c>
      <c r="AB21" s="30">
        <f>VLOOKUP(AB$9,[2]PC!$C$133:$T$184,13,FALSE)</f>
        <v>522.13699999999994</v>
      </c>
      <c r="AC21" s="30">
        <f>VLOOKUP(AC$9,[2]PC!$C$133:$T$184,13,FALSE)</f>
        <v>1139.6376213426654</v>
      </c>
      <c r="AD21" s="30">
        <f>VLOOKUP(AD$9,[2]PC!$C$133:$T$184,13,FALSE)</f>
        <v>466.48237865733461</v>
      </c>
      <c r="AE21" s="30">
        <f>VLOOKUP(AE$9,[2]PC!$C$133:$T$184,13,FALSE)</f>
        <v>57.234540604587686</v>
      </c>
      <c r="AF21" s="30">
        <f>VLOOKUP(AF$9,[2]PC!$C$133:$T$184,13,FALSE)</f>
        <v>2270.7829999999994</v>
      </c>
      <c r="AG21" s="33">
        <f t="shared" si="69"/>
        <v>4502.6580000000004</v>
      </c>
      <c r="AH21" s="30">
        <f>VLOOKUP(AH$9,[2]PC!$C$133:$T$184,13,FALSE)</f>
        <v>2035.7945939121803</v>
      </c>
      <c r="AI21" s="30">
        <f>VLOOKUP(AI$9,[2]PC!$C$133:$T$184,13,FALSE)</f>
        <v>2111.23015608782</v>
      </c>
      <c r="AJ21" s="30">
        <f>VLOOKUP(AJ$9,[2]PC!$C$133:$T$184,13,FALSE)</f>
        <v>247.95599999999999</v>
      </c>
      <c r="AK21" s="30">
        <f>VLOOKUP(AK$9,[2]PC!$C$133:$T$184,13,FALSE)</f>
        <v>107.67725000000002</v>
      </c>
      <c r="AL21" s="33">
        <f t="shared" si="70"/>
        <v>14925.647000000001</v>
      </c>
      <c r="AM21" s="30">
        <f>VLOOKUP(AM$9,[2]PC!$C$133:$T$184,13,FALSE)</f>
        <v>5419.5370000000003</v>
      </c>
      <c r="AN21" s="30">
        <f>VLOOKUP(AN$9,[2]PC!$C$133:$T$184,13,FALSE)</f>
        <v>7742.3909999999996</v>
      </c>
      <c r="AO21" s="30">
        <f>VLOOKUP(AO$9,[2]PC!$C$133:$T$184,13,FALSE)</f>
        <v>1602.6580850290645</v>
      </c>
      <c r="AP21" s="30">
        <f>VLOOKUP(AP$9,[2]PC!$C$133:$T$184,13,FALSE)</f>
        <v>161.0609149709355</v>
      </c>
      <c r="AQ21" s="33">
        <f t="shared" si="71"/>
        <v>4117.3643162234239</v>
      </c>
      <c r="AR21" s="30">
        <f>VLOOKUP(AR$9,[2]PC!$C$133:$T$184,13,FALSE)</f>
        <v>730.66049999999996</v>
      </c>
      <c r="AS21" s="30">
        <f>VLOOKUP(AS$9,[2]PC!$C$133:$T$184,13,FALSE)</f>
        <v>3.8575932332104812</v>
      </c>
      <c r="AT21" s="30">
        <f>VLOOKUP(AT$9,[2]PC!$C$133:$T$184,13,FALSE)</f>
        <v>3382.8462229902134</v>
      </c>
      <c r="AU21" s="33">
        <f t="shared" si="72"/>
        <v>5892.9736837765759</v>
      </c>
      <c r="AV21" s="30">
        <f>VLOOKUP(AV$9,[2]PC!$C$133:$T$184,13,FALSE)</f>
        <v>749.6701134092209</v>
      </c>
      <c r="AW21" s="30">
        <f>VLOOKUP(AW$9,[2]PC!$C$133:$T$184,13,FALSE)</f>
        <v>402.40826706295638</v>
      </c>
      <c r="AX21" s="30">
        <f>VLOOKUP(AX$9,[2]PC!$C$133:$T$184,13,FALSE)</f>
        <v>692.43215446074544</v>
      </c>
      <c r="AY21" s="30">
        <f>VLOOKUP(AY$9,[2]PC!$C$133:$T$184,13,FALSE)</f>
        <v>1096.1418652223449</v>
      </c>
      <c r="AZ21" s="30">
        <f>VLOOKUP(AZ$9,[2]PC!$C$133:$T$184,13,FALSE)</f>
        <v>64.128793357568426</v>
      </c>
      <c r="BA21" s="30">
        <f>VLOOKUP(BA$9,[2]PC!$C$133:$T$184,13,FALSE)</f>
        <v>865.17249026373906</v>
      </c>
      <c r="BB21" s="30">
        <f>VLOOKUP(BB$9,[2]PC!$C$133:$T$184,13,FALSE)</f>
        <v>1384.7260000000001</v>
      </c>
      <c r="BC21" s="30">
        <f>VLOOKUP(BC$9,[2]PC!$C$133:$T$184,13,FALSE)</f>
        <v>638.29399999999998</v>
      </c>
      <c r="BD21" s="33">
        <f t="shared" si="73"/>
        <v>1398.646</v>
      </c>
      <c r="BE21" s="30">
        <f>VLOOKUP(BE$9,[2]PC!$C$133:$T$184,13,FALSE)</f>
        <v>329.68700000000001</v>
      </c>
      <c r="BF21" s="30">
        <f>VLOOKUP(BF$9,[2]PC!$C$133:$T$184,13,FALSE)</f>
        <v>185.64499999999998</v>
      </c>
      <c r="BG21" s="30">
        <f>VLOOKUP(BG$9,[2]PC!$C$133:$T$184,13,FALSE)</f>
        <v>5.92</v>
      </c>
      <c r="BH21" s="30">
        <f>VLOOKUP(BH$9,[2]PC!$C$133:$T$184,13,FALSE)</f>
        <v>499.75900000000001</v>
      </c>
      <c r="BI21" s="30">
        <f>VLOOKUP(BI$9,[2]PC!$C$133:$T$184,13,FALSE)</f>
        <v>377.63499999999999</v>
      </c>
      <c r="BJ21" s="33">
        <f t="shared" si="74"/>
        <v>10482.935000000001</v>
      </c>
      <c r="BK21" s="30">
        <f>VLOOKUP(BK$9,[2]PC!$C$133:$T$184,13,FALSE)</f>
        <v>8381.4500000000007</v>
      </c>
      <c r="BL21" s="30">
        <f>VLOOKUP(BL$9,[2]PC!$C$133:$T$184,13,FALSE)</f>
        <v>2101.4850000000001</v>
      </c>
      <c r="BM21" s="33">
        <f t="shared" si="75"/>
        <v>4908.4120000000003</v>
      </c>
      <c r="BN21" s="30">
        <f>VLOOKUP(BN$9,[2]PC!$C$133:$T$184,13,FALSE)</f>
        <v>1472.1669999999999</v>
      </c>
      <c r="BO21" s="30">
        <f>VLOOKUP(BO$9,[2]PC!$C$133:$T$184,13,FALSE)</f>
        <v>3436.2449999999999</v>
      </c>
      <c r="BP21" s="49">
        <f t="shared" si="76"/>
        <v>6013.0730000000012</v>
      </c>
      <c r="BQ21" s="30">
        <f>VLOOKUP(BQ$9,[2]PC!$C$133:$T$184,13,FALSE)</f>
        <v>1941.2250000000013</v>
      </c>
      <c r="BR21" s="30">
        <f>VLOOKUP(BR$9,[2]PC!$C$133:$T$184,13,FALSE)</f>
        <v>1136.248</v>
      </c>
      <c r="BS21" s="30">
        <f>VLOOKUP(BS$9,[2]PC!$C$133:$T$184,13,FALSE)</f>
        <v>1081.279</v>
      </c>
      <c r="BT21" s="30">
        <f>VLOOKUP(BT$9,[2]PC!$C$133:$T$184,13,FALSE)</f>
        <v>1854.3209999999999</v>
      </c>
      <c r="BU21" s="52"/>
      <c r="BV21" s="52"/>
    </row>
    <row r="22" spans="1:74" ht="15" customHeight="1">
      <c r="A22" s="10">
        <v>2005</v>
      </c>
      <c r="B22" s="33">
        <f t="shared" si="77"/>
        <v>99563.646000000008</v>
      </c>
      <c r="C22" s="31">
        <f>ROUND([3]QRE05!$M$44/1000,3)</f>
        <v>1798.6279999999999</v>
      </c>
      <c r="D22" s="30">
        <f>(ROUND([3]QRE05!$M$43/1000,3))*-1</f>
        <v>5625.5510000000004</v>
      </c>
      <c r="E22" s="33">
        <f t="shared" si="78"/>
        <v>103390.569</v>
      </c>
      <c r="F22" s="39">
        <f>[2]Durabilidade_PC!$P$6+[2]Durabilidade_PC!$P$7</f>
        <v>11091.039000000001</v>
      </c>
      <c r="G22" s="39">
        <f>[2]Durabilidade_PC!$P$8+[2]Durabilidade_PC!$P$9</f>
        <v>92299.529999999984</v>
      </c>
      <c r="H22" s="30">
        <f t="shared" si="64"/>
        <v>16400.472000000002</v>
      </c>
      <c r="I22" s="30">
        <f>VLOOKUP(I$9,[2]PC!$C$133:$T$184,14,FALSE)</f>
        <v>15537.69</v>
      </c>
      <c r="J22" s="30">
        <f>VLOOKUP(J$9,[2]PC!$C$133:$T$184,14,FALSE)</f>
        <v>862.78200000000004</v>
      </c>
      <c r="K22" s="30">
        <f>VLOOKUP(K$9,[2]PC!$C$133:$T$184,14,FALSE)</f>
        <v>0</v>
      </c>
      <c r="L22" s="33">
        <f t="shared" si="65"/>
        <v>3602.2569999999996</v>
      </c>
      <c r="M22" s="30">
        <f>VLOOKUP(M$9,[2]PC!$C$133:$T$184,14,FALSE)</f>
        <v>1316.954</v>
      </c>
      <c r="N22" s="30">
        <f>VLOOKUP(N$9,[2]PC!$C$133:$T$184,14,FALSE)</f>
        <v>0</v>
      </c>
      <c r="O22" s="30">
        <f>VLOOKUP(O$9,[2]PC!$C$133:$T$184,14,FALSE)</f>
        <v>2159.085</v>
      </c>
      <c r="P22" s="30">
        <f>VLOOKUP(P$9,[2]PC!$C$133:$T$184,14,FALSE)</f>
        <v>126.218</v>
      </c>
      <c r="Q22" s="33">
        <f t="shared" si="66"/>
        <v>6593.0410000000002</v>
      </c>
      <c r="R22" s="30">
        <f>VLOOKUP(R$9,[2]PC!$C$133:$T$184,14,FALSE)</f>
        <v>5285.7370000000001</v>
      </c>
      <c r="S22" s="30">
        <f>VLOOKUP(S$9,[2]PC!$C$133:$T$184,14,FALSE)</f>
        <v>1307.3040000000001</v>
      </c>
      <c r="T22" s="33">
        <f t="shared" si="67"/>
        <v>14840.963317431204</v>
      </c>
      <c r="U22" s="30">
        <f>VLOOKUP(U$9,[2]PC!$C$133:$T$184,14,FALSE)</f>
        <v>2659.7490000000003</v>
      </c>
      <c r="V22" s="30">
        <f>VLOOKUP(V$9,[2]PC!$C$133:$T$184,14,FALSE)</f>
        <v>8036.433</v>
      </c>
      <c r="W22" s="30">
        <f>VLOOKUP(W$9,[2]PC!$C$133:$T$184,14,FALSE)</f>
        <v>320.26861837921263</v>
      </c>
      <c r="X22" s="30">
        <f>VLOOKUP(X$9,[2]PC!$C$133:$T$184,14,FALSE)</f>
        <v>719.8466990519903</v>
      </c>
      <c r="Y22" s="30">
        <f>VLOOKUP(Y$9,[2]PC!$C$133:$T$184,14,FALSE)</f>
        <v>3104.6660000000002</v>
      </c>
      <c r="Z22" s="33">
        <f t="shared" si="68"/>
        <v>6400.1186825687982</v>
      </c>
      <c r="AA22" s="30">
        <f>VLOOKUP(AA$9,[2]PC!$C$133:$T$184,14,FALSE)</f>
        <v>1689.5627573807287</v>
      </c>
      <c r="AB22" s="30">
        <f>VLOOKUP(AB$9,[2]PC!$C$133:$T$184,14,FALSE)</f>
        <v>523.38900000000001</v>
      </c>
      <c r="AC22" s="30">
        <f>VLOOKUP(AC$9,[2]PC!$C$133:$T$184,14,FALSE)</f>
        <v>1195.8946792279401</v>
      </c>
      <c r="AD22" s="30">
        <f>VLOOKUP(AD$9,[2]PC!$C$133:$T$184,14,FALSE)</f>
        <v>461.66032077205983</v>
      </c>
      <c r="AE22" s="30">
        <f>VLOOKUP(AE$9,[2]PC!$C$133:$T$184,14,FALSE)</f>
        <v>61.631925188068685</v>
      </c>
      <c r="AF22" s="30">
        <f>VLOOKUP(AF$9,[2]PC!$C$133:$T$184,14,FALSE)</f>
        <v>2467.9800000000005</v>
      </c>
      <c r="AG22" s="33">
        <f t="shared" si="69"/>
        <v>4725.6270000000004</v>
      </c>
      <c r="AH22" s="30">
        <f>VLOOKUP(AH$9,[2]PC!$C$133:$T$184,14,FALSE)</f>
        <v>2157.9215158763382</v>
      </c>
      <c r="AI22" s="30">
        <f>VLOOKUP(AI$9,[2]PC!$C$133:$T$184,14,FALSE)</f>
        <v>2204.5177341236622</v>
      </c>
      <c r="AJ22" s="30">
        <f>VLOOKUP(AJ$9,[2]PC!$C$133:$T$184,14,FALSE)</f>
        <v>250.80699999999999</v>
      </c>
      <c r="AK22" s="30">
        <f>VLOOKUP(AK$9,[2]PC!$C$133:$T$184,14,FALSE)</f>
        <v>112.38074999999999</v>
      </c>
      <c r="AL22" s="33">
        <f t="shared" si="70"/>
        <v>16102.833000000001</v>
      </c>
      <c r="AM22" s="30">
        <f>VLOOKUP(AM$9,[2]PC!$C$133:$T$184,14,FALSE)</f>
        <v>5859.6080000000002</v>
      </c>
      <c r="AN22" s="30">
        <f>VLOOKUP(AN$9,[2]PC!$C$133:$T$184,14,FALSE)</f>
        <v>8417.5570000000007</v>
      </c>
      <c r="AO22" s="30">
        <f>VLOOKUP(AO$9,[2]PC!$C$133:$T$184,14,FALSE)</f>
        <v>1671.2720706939203</v>
      </c>
      <c r="AP22" s="30">
        <f>VLOOKUP(AP$9,[2]PC!$C$133:$T$184,14,FALSE)</f>
        <v>154.39592930607975</v>
      </c>
      <c r="AQ22" s="33">
        <f t="shared" si="71"/>
        <v>4352.7174012774503</v>
      </c>
      <c r="AR22" s="30">
        <f>VLOOKUP(AR$9,[2]PC!$C$133:$T$184,14,FALSE)</f>
        <v>789.65599999999995</v>
      </c>
      <c r="AS22" s="30">
        <f>VLOOKUP(AS$9,[2]PC!$C$133:$T$184,14,FALSE)</f>
        <v>4.156956805151764</v>
      </c>
      <c r="AT22" s="30">
        <f>VLOOKUP(AT$9,[2]PC!$C$133:$T$184,14,FALSE)</f>
        <v>3558.9044444722986</v>
      </c>
      <c r="AU22" s="33">
        <f t="shared" si="72"/>
        <v>6346.0065987225498</v>
      </c>
      <c r="AV22" s="30">
        <f>VLOOKUP(AV$9,[2]PC!$C$133:$T$184,14,FALSE)</f>
        <v>810.92498805522678</v>
      </c>
      <c r="AW22" s="30">
        <f>VLOOKUP(AW$9,[2]PC!$C$133:$T$184,14,FALSE)</f>
        <v>438.32581603352924</v>
      </c>
      <c r="AX22" s="30">
        <f>VLOOKUP(AX$9,[2]PC!$C$133:$T$184,14,FALSE)</f>
        <v>754.23621728024045</v>
      </c>
      <c r="AY22" s="30">
        <f>VLOOKUP(AY$9,[2]PC!$C$133:$T$184,14,FALSE)</f>
        <v>1216.50394536613</v>
      </c>
      <c r="AZ22" s="30">
        <f>VLOOKUP(AZ$9,[2]PC!$C$133:$T$184,14,FALSE)</f>
        <v>72.923055139621255</v>
      </c>
      <c r="BA22" s="30">
        <f>VLOOKUP(BA$9,[2]PC!$C$133:$T$184,14,FALSE)</f>
        <v>962.30557684780194</v>
      </c>
      <c r="BB22" s="30">
        <f>VLOOKUP(BB$9,[2]PC!$C$133:$T$184,14,FALSE)</f>
        <v>1438.2460000000001</v>
      </c>
      <c r="BC22" s="30">
        <f>VLOOKUP(BC$9,[2]PC!$C$133:$T$184,14,FALSE)</f>
        <v>652.54100000000005</v>
      </c>
      <c r="BD22" s="33">
        <f t="shared" si="73"/>
        <v>1488.6959999999999</v>
      </c>
      <c r="BE22" s="30">
        <f>VLOOKUP(BE$9,[2]PC!$C$133:$T$184,14,FALSE)</f>
        <v>347.82</v>
      </c>
      <c r="BF22" s="30">
        <f>VLOOKUP(BF$9,[2]PC!$C$133:$T$184,14,FALSE)</f>
        <v>193.39</v>
      </c>
      <c r="BG22" s="30">
        <f>VLOOKUP(BG$9,[2]PC!$C$133:$T$184,14,FALSE)</f>
        <v>3.823</v>
      </c>
      <c r="BH22" s="30">
        <f>VLOOKUP(BH$9,[2]PC!$C$133:$T$184,14,FALSE)</f>
        <v>540.78300000000002</v>
      </c>
      <c r="BI22" s="30">
        <f>VLOOKUP(BI$9,[2]PC!$C$133:$T$184,14,FALSE)</f>
        <v>402.87999999999994</v>
      </c>
      <c r="BJ22" s="33">
        <f t="shared" si="74"/>
        <v>10941.760999999999</v>
      </c>
      <c r="BK22" s="30">
        <f>VLOOKUP(BK$9,[2]PC!$C$133:$T$184,14,FALSE)</f>
        <v>8823.1859999999997</v>
      </c>
      <c r="BL22" s="30">
        <f>VLOOKUP(BL$9,[2]PC!$C$133:$T$184,14,FALSE)</f>
        <v>2118.5749999999998</v>
      </c>
      <c r="BM22" s="33">
        <f t="shared" si="75"/>
        <v>5369.73</v>
      </c>
      <c r="BN22" s="30">
        <f>VLOOKUP(BN$9,[2]PC!$C$133:$T$184,14,FALSE)</f>
        <v>1699.212</v>
      </c>
      <c r="BO22" s="30">
        <f>VLOOKUP(BO$9,[2]PC!$C$133:$T$184,14,FALSE)</f>
        <v>3670.518</v>
      </c>
      <c r="BP22" s="49">
        <f t="shared" si="76"/>
        <v>6226.3460000000005</v>
      </c>
      <c r="BQ22" s="30">
        <f>VLOOKUP(BQ$9,[2]PC!$C$133:$T$184,14,FALSE)</f>
        <v>2236.3370000000004</v>
      </c>
      <c r="BR22" s="30">
        <f>VLOOKUP(BR$9,[2]PC!$C$133:$T$184,14,FALSE)</f>
        <v>1137.2739999999999</v>
      </c>
      <c r="BS22" s="30">
        <f>VLOOKUP(BS$9,[2]PC!$C$133:$T$184,14,FALSE)</f>
        <v>1021.65</v>
      </c>
      <c r="BT22" s="30">
        <f>VLOOKUP(BT$9,[2]PC!$C$133:$T$184,14,FALSE)</f>
        <v>1831.085</v>
      </c>
      <c r="BU22" s="52"/>
      <c r="BV22" s="52"/>
    </row>
    <row r="23" spans="1:74" ht="15" customHeight="1">
      <c r="A23" s="10">
        <v>2006</v>
      </c>
      <c r="B23" s="33">
        <f t="shared" si="77"/>
        <v>104677.73600000003</v>
      </c>
      <c r="C23" s="31">
        <f>ROUND([3]QRE06!$M$44/1000,3)</f>
        <v>1914.884</v>
      </c>
      <c r="D23" s="30">
        <f>(ROUND([3]QRE06!$M$43/1000,3))*-1</f>
        <v>6055.1270000000004</v>
      </c>
      <c r="E23" s="33">
        <f t="shared" si="78"/>
        <v>108817.97900000004</v>
      </c>
      <c r="F23" s="39">
        <f>[2]Durabilidade_PC!$Q$6+[2]Durabilidade_PC!$Q$7</f>
        <v>11551.228999999999</v>
      </c>
      <c r="G23" s="39">
        <f>[2]Durabilidade_PC!$Q$8+[2]Durabilidade_PC!$Q$9</f>
        <v>97266.750000000015</v>
      </c>
      <c r="H23" s="30">
        <f t="shared" si="64"/>
        <v>17149.34</v>
      </c>
      <c r="I23" s="30">
        <f>VLOOKUP(I$9,[2]PC!$C$133:$T$184,15,FALSE)</f>
        <v>16274.155000000001</v>
      </c>
      <c r="J23" s="30">
        <f>VLOOKUP(J$9,[2]PC!$C$133:$T$184,15,FALSE)</f>
        <v>875.18499999999995</v>
      </c>
      <c r="K23" s="30">
        <f>VLOOKUP(K$9,[2]PC!$C$133:$T$184,15,FALSE)</f>
        <v>0</v>
      </c>
      <c r="L23" s="33">
        <f t="shared" si="65"/>
        <v>3957.4160000000002</v>
      </c>
      <c r="M23" s="30">
        <f>VLOOKUP(M$9,[2]PC!$C$133:$T$184,15,FALSE)</f>
        <v>1419.5409999999999</v>
      </c>
      <c r="N23" s="30">
        <f>VLOOKUP(N$9,[2]PC!$C$133:$T$184,15,FALSE)</f>
        <v>0</v>
      </c>
      <c r="O23" s="30">
        <f>VLOOKUP(O$9,[2]PC!$C$133:$T$184,15,FALSE)</f>
        <v>2408.62</v>
      </c>
      <c r="P23" s="30">
        <f>VLOOKUP(P$9,[2]PC!$C$133:$T$184,15,FALSE)</f>
        <v>129.255</v>
      </c>
      <c r="Q23" s="33">
        <f t="shared" si="66"/>
        <v>7042.326</v>
      </c>
      <c r="R23" s="30">
        <f>VLOOKUP(R$9,[2]PC!$C$133:$T$184,15,FALSE)</f>
        <v>5624.7269999999999</v>
      </c>
      <c r="S23" s="30">
        <f>VLOOKUP(S$9,[2]PC!$C$133:$T$184,15,FALSE)</f>
        <v>1417.5989999999999</v>
      </c>
      <c r="T23" s="33">
        <f t="shared" si="67"/>
        <v>15707.883311823814</v>
      </c>
      <c r="U23" s="30">
        <f>VLOOKUP(U$9,[2]PC!$C$133:$T$184,15,FALSE)</f>
        <v>2805.5749999999989</v>
      </c>
      <c r="V23" s="30">
        <f>VLOOKUP(V$9,[2]PC!$C$133:$T$184,15,FALSE)</f>
        <v>8553.5030000000006</v>
      </c>
      <c r="W23" s="30">
        <f>VLOOKUP(W$9,[2]PC!$C$133:$T$184,15,FALSE)</f>
        <v>333.16778522107455</v>
      </c>
      <c r="X23" s="30">
        <f>VLOOKUP(X$9,[2]PC!$C$133:$T$184,15,FALSE)</f>
        <v>799.49552660274117</v>
      </c>
      <c r="Y23" s="30">
        <f>VLOOKUP(Y$9,[2]PC!$C$133:$T$184,15,FALSE)</f>
        <v>3216.1420000000007</v>
      </c>
      <c r="Z23" s="33">
        <f t="shared" si="68"/>
        <v>6595.2996881761837</v>
      </c>
      <c r="AA23" s="30">
        <f>VLOOKUP(AA$9,[2]PC!$C$133:$T$184,15,FALSE)</f>
        <v>2028.4159285399669</v>
      </c>
      <c r="AB23" s="30">
        <f>VLOOKUP(AB$9,[2]PC!$C$133:$T$184,15,FALSE)</f>
        <v>510.45</v>
      </c>
      <c r="AC23" s="30">
        <f>VLOOKUP(AC$9,[2]PC!$C$133:$T$184,15,FALSE)</f>
        <v>1224.5951090074916</v>
      </c>
      <c r="AD23" s="30">
        <f>VLOOKUP(AD$9,[2]PC!$C$133:$T$184,15,FALSE)</f>
        <v>443.78089099250838</v>
      </c>
      <c r="AE23" s="30">
        <f>VLOOKUP(AE$9,[2]PC!$C$133:$T$184,15,FALSE)</f>
        <v>64.745759636217343</v>
      </c>
      <c r="AF23" s="30">
        <f>VLOOKUP(AF$9,[2]PC!$C$133:$T$184,15,FALSE)</f>
        <v>2323.3119999999999</v>
      </c>
      <c r="AG23" s="33">
        <f t="shared" si="69"/>
        <v>4913.049</v>
      </c>
      <c r="AH23" s="30">
        <f>VLOOKUP(AH$9,[2]PC!$C$133:$T$184,15,FALSE)</f>
        <v>2267.8258629438055</v>
      </c>
      <c r="AI23" s="30">
        <f>VLOOKUP(AI$9,[2]PC!$C$133:$T$184,15,FALSE)</f>
        <v>2264.1248870561944</v>
      </c>
      <c r="AJ23" s="30">
        <f>VLOOKUP(AJ$9,[2]PC!$C$133:$T$184,15,FALSE)</f>
        <v>265.76600000000002</v>
      </c>
      <c r="AK23" s="30">
        <f>VLOOKUP(AK$9,[2]PC!$C$133:$T$184,15,FALSE)</f>
        <v>115.33225</v>
      </c>
      <c r="AL23" s="33">
        <f t="shared" si="70"/>
        <v>16446.538</v>
      </c>
      <c r="AM23" s="30">
        <f>VLOOKUP(AM$9,[2]PC!$C$133:$T$184,15,FALSE)</f>
        <v>5874.1949999999997</v>
      </c>
      <c r="AN23" s="30">
        <f>VLOOKUP(AN$9,[2]PC!$C$133:$T$184,15,FALSE)</f>
        <v>8681.0840000000007</v>
      </c>
      <c r="AO23" s="30">
        <f>VLOOKUP(AO$9,[2]PC!$C$133:$T$184,15,FALSE)</f>
        <v>1740.9283976490951</v>
      </c>
      <c r="AP23" s="30">
        <f>VLOOKUP(AP$9,[2]PC!$C$133:$T$184,15,FALSE)</f>
        <v>150.33060235090468</v>
      </c>
      <c r="AQ23" s="33">
        <f t="shared" si="71"/>
        <v>4547.676281026329</v>
      </c>
      <c r="AR23" s="30">
        <f>VLOOKUP(AR$9,[2]PC!$C$133:$T$184,15,FALSE)</f>
        <v>822.33400000000006</v>
      </c>
      <c r="AS23" s="30">
        <f>VLOOKUP(AS$9,[2]PC!$C$133:$T$184,15,FALSE)</f>
        <v>4.3290299166866868</v>
      </c>
      <c r="AT23" s="30">
        <f>VLOOKUP(AT$9,[2]PC!$C$133:$T$184,15,FALSE)</f>
        <v>3721.0132511096422</v>
      </c>
      <c r="AU23" s="33">
        <f t="shared" si="72"/>
        <v>6454.7617189736711</v>
      </c>
      <c r="AV23" s="30">
        <f>VLOOKUP(AV$9,[2]PC!$C$133:$T$184,15,FALSE)</f>
        <v>846.36301628061358</v>
      </c>
      <c r="AW23" s="30">
        <f>VLOOKUP(AW$9,[2]PC!$C$133:$T$184,15,FALSE)</f>
        <v>451.31642944204128</v>
      </c>
      <c r="AX23" s="30">
        <f>VLOOKUP(AX$9,[2]PC!$C$133:$T$184,15,FALSE)</f>
        <v>776.58943207842287</v>
      </c>
      <c r="AY23" s="30">
        <f>VLOOKUP(AY$9,[2]PC!$C$133:$T$184,15,FALSE)</f>
        <v>1279.2006542357335</v>
      </c>
      <c r="AZ23" s="30">
        <f>VLOOKUP(AZ$9,[2]PC!$C$133:$T$184,15,FALSE)</f>
        <v>78.261953802699551</v>
      </c>
      <c r="BA23" s="30">
        <f>VLOOKUP(BA$9,[2]PC!$C$133:$T$184,15,FALSE)</f>
        <v>1014.3772331341597</v>
      </c>
      <c r="BB23" s="30">
        <f>VLOOKUP(BB$9,[2]PC!$C$133:$T$184,15,FALSE)</f>
        <v>1411.7650000000001</v>
      </c>
      <c r="BC23" s="30">
        <f>VLOOKUP(BC$9,[2]PC!$C$133:$T$184,15,FALSE)</f>
        <v>596.88800000000003</v>
      </c>
      <c r="BD23" s="33">
        <f t="shared" si="73"/>
        <v>1576.9110000000003</v>
      </c>
      <c r="BE23" s="30">
        <f>VLOOKUP(BE$9,[2]PC!$C$133:$T$184,15,FALSE)</f>
        <v>365.51299999999998</v>
      </c>
      <c r="BF23" s="30">
        <f>VLOOKUP(BF$9,[2]PC!$C$133:$T$184,15,FALSE)</f>
        <v>199.58800000000002</v>
      </c>
      <c r="BG23" s="30">
        <f>VLOOKUP(BG$9,[2]PC!$C$133:$T$184,15,FALSE)</f>
        <v>1.425</v>
      </c>
      <c r="BH23" s="30">
        <f>VLOOKUP(BH$9,[2]PC!$C$133:$T$184,15,FALSE)</f>
        <v>571.99900000000002</v>
      </c>
      <c r="BI23" s="30">
        <f>VLOOKUP(BI$9,[2]PC!$C$133:$T$184,15,FALSE)</f>
        <v>438.38600000000014</v>
      </c>
      <c r="BJ23" s="33">
        <f t="shared" si="74"/>
        <v>11499.114</v>
      </c>
      <c r="BK23" s="30">
        <f>VLOOKUP(BK$9,[2]PC!$C$133:$T$184,15,FALSE)</f>
        <v>9351.3279999999995</v>
      </c>
      <c r="BL23" s="30">
        <f>VLOOKUP(BL$9,[2]PC!$C$133:$T$184,15,FALSE)</f>
        <v>2147.7860000000001</v>
      </c>
      <c r="BM23" s="33">
        <f t="shared" si="75"/>
        <v>6173.7309999999998</v>
      </c>
      <c r="BN23" s="30">
        <f>VLOOKUP(BN$9,[2]PC!$C$133:$T$184,15,FALSE)</f>
        <v>2049.942</v>
      </c>
      <c r="BO23" s="30">
        <f>VLOOKUP(BO$9,[2]PC!$C$133:$T$184,15,FALSE)</f>
        <v>4123.7889999999998</v>
      </c>
      <c r="BP23" s="49">
        <f t="shared" si="76"/>
        <v>6753.9330000000009</v>
      </c>
      <c r="BQ23" s="30">
        <f>VLOOKUP(BQ$9,[2]PC!$C$133:$T$184,15,FALSE)</f>
        <v>2699.1940000000013</v>
      </c>
      <c r="BR23" s="30">
        <f>VLOOKUP(BR$9,[2]PC!$C$133:$T$184,15,FALSE)</f>
        <v>1192.6949999999999</v>
      </c>
      <c r="BS23" s="30">
        <f>VLOOKUP(BS$9,[2]PC!$C$133:$T$184,15,FALSE)</f>
        <v>999.49699999999996</v>
      </c>
      <c r="BT23" s="30">
        <f>VLOOKUP(BT$9,[2]PC!$C$133:$T$184,15,FALSE)</f>
        <v>1862.547</v>
      </c>
      <c r="BU23" s="52"/>
      <c r="BV23" s="52"/>
    </row>
    <row r="24" spans="1:74" ht="15" customHeight="1">
      <c r="A24" s="10">
        <v>2007</v>
      </c>
      <c r="B24" s="33">
        <f t="shared" si="77"/>
        <v>110802.22300000001</v>
      </c>
      <c r="C24" s="31">
        <f>ROUND([4]QRE07!$M$44/1000,3)</f>
        <v>2019.2560000000001</v>
      </c>
      <c r="D24" s="30">
        <f>(ROUND([4]QRE07!$M$43/1000,3))*-1</f>
        <v>6735.4610000000002</v>
      </c>
      <c r="E24" s="33">
        <f t="shared" si="78"/>
        <v>115518.42800000001</v>
      </c>
      <c r="F24" s="39">
        <f>[2]Durabilidade_PC!$R$6+[2]Durabilidade_PC!$R$7</f>
        <v>12103.608</v>
      </c>
      <c r="G24" s="39">
        <f>[2]Durabilidade_PC!$R$8+[2]Durabilidade_PC!$R$9</f>
        <v>103414.82000000002</v>
      </c>
      <c r="H24" s="30">
        <f t="shared" si="64"/>
        <v>18154.153999999999</v>
      </c>
      <c r="I24" s="30">
        <f>VLOOKUP(I$9,[2]PC!$C$133:$T$184,16,FALSE)</f>
        <v>17187.675999999999</v>
      </c>
      <c r="J24" s="30">
        <f>VLOOKUP(J$9,[2]PC!$C$133:$T$184,16,FALSE)</f>
        <v>966.47799999999995</v>
      </c>
      <c r="K24" s="30">
        <f>VLOOKUP(K$9,[2]PC!$C$133:$T$184,16,FALSE)</f>
        <v>0</v>
      </c>
      <c r="L24" s="33">
        <f t="shared" si="65"/>
        <v>3598.76</v>
      </c>
      <c r="M24" s="30">
        <f>VLOOKUP(M$9,[2]PC!$C$133:$T$184,16,FALSE)</f>
        <v>1296.261</v>
      </c>
      <c r="N24" s="30">
        <f>VLOOKUP(N$9,[2]PC!$C$133:$T$184,16,FALSE)</f>
        <v>0</v>
      </c>
      <c r="O24" s="30">
        <f>VLOOKUP(O$9,[2]PC!$C$133:$T$184,16,FALSE)</f>
        <v>2153.2040000000002</v>
      </c>
      <c r="P24" s="30">
        <f>VLOOKUP(P$9,[2]PC!$C$133:$T$184,16,FALSE)</f>
        <v>149.29499999999999</v>
      </c>
      <c r="Q24" s="33">
        <f t="shared" si="66"/>
        <v>7220.4610000000002</v>
      </c>
      <c r="R24" s="30">
        <f>VLOOKUP(R$9,[2]PC!$C$133:$T$184,16,FALSE)</f>
        <v>5692.375</v>
      </c>
      <c r="S24" s="30">
        <f>VLOOKUP(S$9,[2]PC!$C$133:$T$184,16,FALSE)</f>
        <v>1528.086</v>
      </c>
      <c r="T24" s="33">
        <f t="shared" si="67"/>
        <v>16845.716383064453</v>
      </c>
      <c r="U24" s="30">
        <f>VLOOKUP(U$9,[2]PC!$C$133:$T$184,16,FALSE)</f>
        <v>2950.116</v>
      </c>
      <c r="V24" s="30">
        <f>VLOOKUP(V$9,[2]PC!$C$133:$T$184,16,FALSE)</f>
        <v>9214.1110000000008</v>
      </c>
      <c r="W24" s="30">
        <f>VLOOKUP(W$9,[2]PC!$C$133:$T$184,16,FALSE)</f>
        <v>356.43875298907398</v>
      </c>
      <c r="X24" s="30">
        <f>VLOOKUP(X$9,[2]PC!$C$133:$T$184,16,FALSE)</f>
        <v>882.66463007538232</v>
      </c>
      <c r="Y24" s="30">
        <f>VLOOKUP(Y$9,[2]PC!$C$133:$T$184,16,FALSE)</f>
        <v>3442.3859999999981</v>
      </c>
      <c r="Z24" s="33">
        <f t="shared" si="68"/>
        <v>6912.9306169355441</v>
      </c>
      <c r="AA24" s="30">
        <f>VLOOKUP(AA$9,[2]PC!$C$133:$T$184,16,FALSE)</f>
        <v>2108.4875439757088</v>
      </c>
      <c r="AB24" s="30">
        <f>VLOOKUP(AB$9,[2]PC!$C$133:$T$184,16,FALSE)</f>
        <v>591.9</v>
      </c>
      <c r="AC24" s="30">
        <f>VLOOKUP(AC$9,[2]PC!$C$133:$T$184,16,FALSE)</f>
        <v>1291.610135496491</v>
      </c>
      <c r="AD24" s="30">
        <f>VLOOKUP(AD$9,[2]PC!$C$133:$T$184,16,FALSE)</f>
        <v>444.79486450350907</v>
      </c>
      <c r="AE24" s="30">
        <f>VLOOKUP(AE$9,[2]PC!$C$133:$T$184,16,FALSE)</f>
        <v>74.508072959834692</v>
      </c>
      <c r="AF24" s="30">
        <f>VLOOKUP(AF$9,[2]PC!$C$133:$T$184,16,FALSE)</f>
        <v>2401.63</v>
      </c>
      <c r="AG24" s="33">
        <f t="shared" si="69"/>
        <v>5470.0880000000006</v>
      </c>
      <c r="AH24" s="30">
        <f>VLOOKUP(AH$9,[2]PC!$C$133:$T$184,16,FALSE)</f>
        <v>2384.6403490650341</v>
      </c>
      <c r="AI24" s="30">
        <f>VLOOKUP(AI$9,[2]PC!$C$133:$T$184,16,FALSE)</f>
        <v>2659.7456509349659</v>
      </c>
      <c r="AJ24" s="30">
        <f>VLOOKUP(AJ$9,[2]PC!$C$133:$T$184,16,FALSE)</f>
        <v>289.745</v>
      </c>
      <c r="AK24" s="30">
        <f>VLOOKUP(AK$9,[2]PC!$C$133:$T$184,16,FALSE)</f>
        <v>135.95699999999999</v>
      </c>
      <c r="AL24" s="33">
        <f t="shared" si="70"/>
        <v>17367.125</v>
      </c>
      <c r="AM24" s="30">
        <f>VLOOKUP(AM$9,[2]PC!$C$133:$T$184,16,FALSE)</f>
        <v>6225.6940000000004</v>
      </c>
      <c r="AN24" s="30">
        <f>VLOOKUP(AN$9,[2]PC!$C$133:$T$184,16,FALSE)</f>
        <v>9080.6749999999993</v>
      </c>
      <c r="AO24" s="30">
        <f>VLOOKUP(AO$9,[2]PC!$C$133:$T$184,16,FALSE)</f>
        <v>1910.6604604885054</v>
      </c>
      <c r="AP24" s="30">
        <f>VLOOKUP(AP$9,[2]PC!$C$133:$T$184,16,FALSE)</f>
        <v>150.09553951149465</v>
      </c>
      <c r="AQ24" s="33">
        <f t="shared" si="71"/>
        <v>4574.481855097657</v>
      </c>
      <c r="AR24" s="30">
        <f>VLOOKUP(AR$9,[2]PC!$C$133:$T$184,16,FALSE)</f>
        <v>784.98250000000007</v>
      </c>
      <c r="AS24" s="30">
        <f>VLOOKUP(AS$9,[2]PC!$C$133:$T$184,16,FALSE)</f>
        <v>4.0810310424804657</v>
      </c>
      <c r="AT24" s="30">
        <f>VLOOKUP(AT$9,[2]PC!$C$133:$T$184,16,FALSE)</f>
        <v>3785.4183240551765</v>
      </c>
      <c r="AU24" s="33">
        <f t="shared" si="72"/>
        <v>6655.9291449023431</v>
      </c>
      <c r="AV24" s="30">
        <f>VLOOKUP(AV$9,[2]PC!$C$133:$T$184,16,FALSE)</f>
        <v>799.12187147570353</v>
      </c>
      <c r="AW24" s="30">
        <f>VLOOKUP(AW$9,[2]PC!$C$133:$T$184,16,FALSE)</f>
        <v>487.51580574393296</v>
      </c>
      <c r="AX24" s="30">
        <f>VLOOKUP(AX$9,[2]PC!$C$133:$T$184,16,FALSE)</f>
        <v>838.87844096434776</v>
      </c>
      <c r="AY24" s="30">
        <f>VLOOKUP(AY$9,[2]PC!$C$133:$T$184,16,FALSE)</f>
        <v>1298.0081120264661</v>
      </c>
      <c r="AZ24" s="30">
        <f>VLOOKUP(AZ$9,[2]PC!$C$133:$T$184,16,FALSE)</f>
        <v>75.322597481815734</v>
      </c>
      <c r="BA24" s="30">
        <f>VLOOKUP(BA$9,[2]PC!$C$133:$T$184,16,FALSE)</f>
        <v>1021.6663172100768</v>
      </c>
      <c r="BB24" s="30">
        <f>VLOOKUP(BB$9,[2]PC!$C$133:$T$184,16,FALSE)</f>
        <v>1562.058</v>
      </c>
      <c r="BC24" s="30">
        <f>VLOOKUP(BC$9,[2]PC!$C$133:$T$184,16,FALSE)</f>
        <v>573.35799999999995</v>
      </c>
      <c r="BD24" s="33">
        <f t="shared" si="73"/>
        <v>1664.115</v>
      </c>
      <c r="BE24" s="30">
        <f>VLOOKUP(BE$9,[2]PC!$C$133:$T$184,16,FALSE)</f>
        <v>401.452</v>
      </c>
      <c r="BF24" s="30">
        <f>VLOOKUP(BF$9,[2]PC!$C$133:$T$184,16,FALSE)</f>
        <v>197.45</v>
      </c>
      <c r="BG24" s="30">
        <f>VLOOKUP(BG$9,[2]PC!$C$133:$T$184,16,FALSE)</f>
        <v>2.0009999999999999</v>
      </c>
      <c r="BH24" s="30">
        <f>VLOOKUP(BH$9,[2]PC!$C$133:$T$184,16,FALSE)</f>
        <v>597.95299999999997</v>
      </c>
      <c r="BI24" s="30">
        <f>VLOOKUP(BI$9,[2]PC!$C$133:$T$184,16,FALSE)</f>
        <v>465.25900000000001</v>
      </c>
      <c r="BJ24" s="33">
        <f t="shared" si="74"/>
        <v>12200.497000000001</v>
      </c>
      <c r="BK24" s="30">
        <f>VLOOKUP(BK$9,[2]PC!$C$133:$T$184,16,FALSE)</f>
        <v>9896.0210000000006</v>
      </c>
      <c r="BL24" s="30">
        <f>VLOOKUP(BL$9,[2]PC!$C$133:$T$184,16,FALSE)</f>
        <v>2304.4760000000001</v>
      </c>
      <c r="BM24" s="33">
        <f t="shared" si="75"/>
        <v>7117.4</v>
      </c>
      <c r="BN24" s="30">
        <f>VLOOKUP(BN$9,[2]PC!$C$133:$T$184,16,FALSE)</f>
        <v>2603.94</v>
      </c>
      <c r="BO24" s="30">
        <f>VLOOKUP(BO$9,[2]PC!$C$133:$T$184,16,FALSE)</f>
        <v>4513.46</v>
      </c>
      <c r="BP24" s="49">
        <f t="shared" si="76"/>
        <v>7736.7699999999986</v>
      </c>
      <c r="BQ24" s="30">
        <f>VLOOKUP(BQ$9,[2]PC!$C$133:$T$184,16,FALSE)</f>
        <v>3018.7249999999985</v>
      </c>
      <c r="BR24" s="30">
        <f>VLOOKUP(BR$9,[2]PC!$C$133:$T$184,16,FALSE)</f>
        <v>1329.4359999999999</v>
      </c>
      <c r="BS24" s="30">
        <f>VLOOKUP(BS$9,[2]PC!$C$133:$T$184,16,FALSE)</f>
        <v>1250.807</v>
      </c>
      <c r="BT24" s="30">
        <f>VLOOKUP(BT$9,[2]PC!$C$133:$T$184,16,FALSE)</f>
        <v>2137.8020000000001</v>
      </c>
      <c r="BU24" s="52"/>
      <c r="BV24" s="52"/>
    </row>
    <row r="25" spans="1:74" ht="15" customHeight="1">
      <c r="A25" s="10">
        <v>2008</v>
      </c>
      <c r="B25" s="33">
        <f t="shared" si="77"/>
        <v>115461.76000000001</v>
      </c>
      <c r="C25" s="31">
        <f>ROUND([4]QRE08!$M$44/1000,3)</f>
        <v>2086.6680000000001</v>
      </c>
      <c r="D25" s="30">
        <f>(ROUND([4]QRE08!$M$43/1000,3))*-1</f>
        <v>6749.2</v>
      </c>
      <c r="E25" s="33">
        <f t="shared" si="78"/>
        <v>120124.292</v>
      </c>
      <c r="F25" s="39">
        <f>[2]Durabilidade_PC!$S$6+[2]Durabilidade_PC!$S$7</f>
        <v>12021.562</v>
      </c>
      <c r="G25" s="39">
        <f>[2]Durabilidade_PC!$S$8+[2]Durabilidade_PC!$S$9</f>
        <v>108102.73000000001</v>
      </c>
      <c r="H25" s="30">
        <f t="shared" si="64"/>
        <v>19251.608</v>
      </c>
      <c r="I25" s="30">
        <f>VLOOKUP(I$9,[2]PC!$C$133:$T$184,17,FALSE)</f>
        <v>18184.271000000001</v>
      </c>
      <c r="J25" s="30">
        <f>VLOOKUP(J$9,[2]PC!$C$133:$T$184,17,FALSE)</f>
        <v>1067.337</v>
      </c>
      <c r="K25" s="30">
        <f>VLOOKUP(K$9,[2]PC!$C$133:$T$184,17,FALSE)</f>
        <v>0</v>
      </c>
      <c r="L25" s="33">
        <f t="shared" si="65"/>
        <v>3601.5569999999993</v>
      </c>
      <c r="M25" s="30">
        <f>VLOOKUP(M$9,[2]PC!$C$133:$T$184,17,FALSE)</f>
        <v>1308.5060000000001</v>
      </c>
      <c r="N25" s="30">
        <f>VLOOKUP(N$9,[2]PC!$C$133:$T$184,17,FALSE)</f>
        <v>0</v>
      </c>
      <c r="O25" s="30">
        <f>VLOOKUP(O$9,[2]PC!$C$133:$T$184,17,FALSE)</f>
        <v>2153.5569999999993</v>
      </c>
      <c r="P25" s="30">
        <f>VLOOKUP(P$9,[2]PC!$C$133:$T$184,17,FALSE)</f>
        <v>139.494</v>
      </c>
      <c r="Q25" s="33">
        <f t="shared" si="66"/>
        <v>7281.6980000000003</v>
      </c>
      <c r="R25" s="30">
        <f>VLOOKUP(R$9,[2]PC!$C$133:$T$184,17,FALSE)</f>
        <v>5665.3530000000001</v>
      </c>
      <c r="S25" s="30">
        <f>VLOOKUP(S$9,[2]PC!$C$133:$T$184,17,FALSE)</f>
        <v>1616.345</v>
      </c>
      <c r="T25" s="33">
        <f t="shared" si="67"/>
        <v>18000.936655556627</v>
      </c>
      <c r="U25" s="30">
        <f>VLOOKUP(U$9,[2]PC!$C$133:$T$184,17,FALSE)</f>
        <v>3094.0319999999997</v>
      </c>
      <c r="V25" s="30">
        <f>VLOOKUP(V$9,[2]PC!$C$133:$T$184,17,FALSE)</f>
        <v>9943.0609999999997</v>
      </c>
      <c r="W25" s="30">
        <f>VLOOKUP(W$9,[2]PC!$C$133:$T$184,17,FALSE)</f>
        <v>376.78176237929279</v>
      </c>
      <c r="X25" s="30">
        <f>VLOOKUP(X$9,[2]PC!$C$133:$T$184,17,FALSE)</f>
        <v>957.07489317733439</v>
      </c>
      <c r="Y25" s="30">
        <f>VLOOKUP(Y$9,[2]PC!$C$133:$T$184,17,FALSE)</f>
        <v>3629.9870000000005</v>
      </c>
      <c r="Z25" s="33">
        <f t="shared" si="68"/>
        <v>7062.3443444433724</v>
      </c>
      <c r="AA25" s="30">
        <f>VLOOKUP(AA$9,[2]PC!$C$133:$T$184,17,FALSE)</f>
        <v>2226.0971772992189</v>
      </c>
      <c r="AB25" s="30">
        <f>VLOOKUP(AB$9,[2]PC!$C$133:$T$184,17,FALSE)</f>
        <v>663.16700000000003</v>
      </c>
      <c r="AC25" s="30">
        <f>VLOOKUP(AC$9,[2]PC!$C$133:$T$184,17,FALSE)</f>
        <v>1328.1957961759667</v>
      </c>
      <c r="AD25" s="30">
        <f>VLOOKUP(AD$9,[2]PC!$C$133:$T$184,17,FALSE)</f>
        <v>433.69420382403331</v>
      </c>
      <c r="AE25" s="30">
        <f>VLOOKUP(AE$9,[2]PC!$C$133:$T$184,17,FALSE)</f>
        <v>82.95216714415389</v>
      </c>
      <c r="AF25" s="30">
        <f>VLOOKUP(AF$9,[2]PC!$C$133:$T$184,17,FALSE)</f>
        <v>2328.2380000000003</v>
      </c>
      <c r="AG25" s="33">
        <f t="shared" si="69"/>
        <v>5837.424</v>
      </c>
      <c r="AH25" s="30">
        <f>VLOOKUP(AH$9,[2]PC!$C$133:$T$184,17,FALSE)</f>
        <v>2396.4492069993062</v>
      </c>
      <c r="AI25" s="30">
        <f>VLOOKUP(AI$9,[2]PC!$C$133:$T$184,17,FALSE)</f>
        <v>2985.3173930006938</v>
      </c>
      <c r="AJ25" s="30">
        <f>VLOOKUP(AJ$9,[2]PC!$C$133:$T$184,17,FALSE)</f>
        <v>302.58499999999998</v>
      </c>
      <c r="AK25" s="30">
        <f>VLOOKUP(AK$9,[2]PC!$C$133:$T$184,17,FALSE)</f>
        <v>153.07239999999999</v>
      </c>
      <c r="AL25" s="33">
        <f t="shared" si="70"/>
        <v>17538.118000000002</v>
      </c>
      <c r="AM25" s="30">
        <f>VLOOKUP(AM$9,[2]PC!$C$133:$T$184,17,FALSE)</f>
        <v>6016.8019999999997</v>
      </c>
      <c r="AN25" s="30">
        <f>VLOOKUP(AN$9,[2]PC!$C$133:$T$184,17,FALSE)</f>
        <v>9264.8029999999999</v>
      </c>
      <c r="AO25" s="30">
        <f>VLOOKUP(AO$9,[2]PC!$C$133:$T$184,17,FALSE)</f>
        <v>2105.3408873025242</v>
      </c>
      <c r="AP25" s="30">
        <f>VLOOKUP(AP$9,[2]PC!$C$133:$T$184,17,FALSE)</f>
        <v>151.17211269747565</v>
      </c>
      <c r="AQ25" s="33">
        <f t="shared" si="71"/>
        <v>4628.0439404717945</v>
      </c>
      <c r="AR25" s="30">
        <f>VLOOKUP(AR$9,[2]PC!$C$133:$T$184,17,FALSE)</f>
        <v>744.14149999999995</v>
      </c>
      <c r="AS25" s="30">
        <f>VLOOKUP(AS$9,[2]PC!$C$133:$T$184,17,FALSE)</f>
        <v>3.8096748346171943</v>
      </c>
      <c r="AT25" s="30">
        <f>VLOOKUP(AT$9,[2]PC!$C$133:$T$184,17,FALSE)</f>
        <v>3880.0927656371769</v>
      </c>
      <c r="AU25" s="33">
        <f t="shared" si="72"/>
        <v>6836.3640595282068</v>
      </c>
      <c r="AV25" s="30">
        <f>VLOOKUP(AV$9,[2]PC!$C$133:$T$184,17,FALSE)</f>
        <v>747.36356730096907</v>
      </c>
      <c r="AW25" s="30">
        <f>VLOOKUP(AW$9,[2]PC!$C$133:$T$184,17,FALSE)</f>
        <v>522.82787408750266</v>
      </c>
      <c r="AX25" s="30">
        <f>VLOOKUP(AX$9,[2]PC!$C$133:$T$184,17,FALSE)</f>
        <v>899.64064085667178</v>
      </c>
      <c r="AY25" s="30">
        <f>VLOOKUP(AY$9,[2]PC!$C$133:$T$184,17,FALSE)</f>
        <v>1310.2501299502148</v>
      </c>
      <c r="AZ25" s="30">
        <f>VLOOKUP(AZ$9,[2]PC!$C$133:$T$184,17,FALSE)</f>
        <v>72.022257864413518</v>
      </c>
      <c r="BA25" s="30">
        <f>VLOOKUP(BA$9,[2]PC!$C$133:$T$184,17,FALSE)</f>
        <v>1023.3805894684351</v>
      </c>
      <c r="BB25" s="30">
        <f>VLOOKUP(BB$9,[2]PC!$C$133:$T$184,17,FALSE)</f>
        <v>1713.8510000000001</v>
      </c>
      <c r="BC25" s="30">
        <f>VLOOKUP(BC$9,[2]PC!$C$133:$T$184,17,FALSE)</f>
        <v>547.02800000000002</v>
      </c>
      <c r="BD25" s="33">
        <f t="shared" si="73"/>
        <v>1807.8750000000002</v>
      </c>
      <c r="BE25" s="30">
        <f>VLOOKUP(BE$9,[2]PC!$C$133:$T$184,17,FALSE)</f>
        <v>463.892</v>
      </c>
      <c r="BF25" s="30">
        <f>VLOOKUP(BF$9,[2]PC!$C$133:$T$184,17,FALSE)</f>
        <v>197.37799999999999</v>
      </c>
      <c r="BG25" s="30">
        <f>VLOOKUP(BG$9,[2]PC!$C$133:$T$184,17,FALSE)</f>
        <v>2.7130000000000001</v>
      </c>
      <c r="BH25" s="30">
        <f>VLOOKUP(BH$9,[2]PC!$C$133:$T$184,17,FALSE)</f>
        <v>640.28300000000002</v>
      </c>
      <c r="BI25" s="30">
        <f>VLOOKUP(BI$9,[2]PC!$C$133:$T$184,17,FALSE)</f>
        <v>503.60900000000021</v>
      </c>
      <c r="BJ25" s="33">
        <f t="shared" si="74"/>
        <v>12218.602999999999</v>
      </c>
      <c r="BK25" s="30">
        <f>VLOOKUP(BK$9,[2]PC!$C$133:$T$184,17,FALSE)</f>
        <v>9884.982</v>
      </c>
      <c r="BL25" s="30">
        <f>VLOOKUP(BL$9,[2]PC!$C$133:$T$184,17,FALSE)</f>
        <v>2333.6210000000001</v>
      </c>
      <c r="BM25" s="33">
        <f t="shared" si="75"/>
        <v>7696.3439999999991</v>
      </c>
      <c r="BN25" s="30">
        <f>VLOOKUP(BN$9,[2]PC!$C$133:$T$184,17,FALSE)</f>
        <v>3074.9749999999999</v>
      </c>
      <c r="BO25" s="30">
        <f>VLOOKUP(BO$9,[2]PC!$C$133:$T$184,17,FALSE)</f>
        <v>4621.3689999999997</v>
      </c>
      <c r="BP25" s="49">
        <f t="shared" si="76"/>
        <v>8363.3759999999984</v>
      </c>
      <c r="BQ25" s="30">
        <f>VLOOKUP(BQ$9,[2]PC!$C$133:$T$184,17,FALSE)</f>
        <v>3176.4179999999988</v>
      </c>
      <c r="BR25" s="30">
        <f>VLOOKUP(BR$9,[2]PC!$C$133:$T$184,17,FALSE)</f>
        <v>1388.4939999999999</v>
      </c>
      <c r="BS25" s="30">
        <f>VLOOKUP(BS$9,[2]PC!$C$133:$T$184,17,FALSE)</f>
        <v>1458.6859999999999</v>
      </c>
      <c r="BT25" s="30">
        <f>VLOOKUP(BT$9,[2]PC!$C$133:$T$184,17,FALSE)</f>
        <v>2339.7780000000002</v>
      </c>
      <c r="BU25" s="52"/>
      <c r="BV25" s="52"/>
    </row>
    <row r="26" spans="1:74" ht="15" customHeight="1">
      <c r="A26" s="10">
        <v>2009</v>
      </c>
      <c r="B26" s="33">
        <f t="shared" si="77"/>
        <v>110432.55699999999</v>
      </c>
      <c r="C26" s="31">
        <f>ROUND([4]QRE09!$M$44/1000,3)</f>
        <v>1925.83</v>
      </c>
      <c r="D26" s="30">
        <f>(ROUND([4]QRE09!$M$43/1000,3))*-1</f>
        <v>6266.6109999999999</v>
      </c>
      <c r="E26" s="33">
        <f t="shared" si="78"/>
        <v>114773.33799999999</v>
      </c>
      <c r="F26" s="39">
        <f>[2]Durabilidade_PC!$T$6+[2]Durabilidade_PC!$T$7</f>
        <v>9942.8640000000014</v>
      </c>
      <c r="G26" s="39">
        <f>[2]Durabilidade_PC!$T$8+[2]Durabilidade_PC!$T$9</f>
        <v>104830.47399999999</v>
      </c>
      <c r="H26" s="30">
        <f t="shared" si="64"/>
        <v>18803.563999999998</v>
      </c>
      <c r="I26" s="30">
        <f>VLOOKUP(I$9,[2]PC!$C$133:$T$184,18,FALSE)</f>
        <v>17719.621999999999</v>
      </c>
      <c r="J26" s="30">
        <f>VLOOKUP(J$9,[2]PC!$C$133:$T$184,18,FALSE)</f>
        <v>1083.942</v>
      </c>
      <c r="K26" s="30">
        <f>VLOOKUP(K$9,[2]PC!$C$133:$T$184,18,FALSE)</f>
        <v>0</v>
      </c>
      <c r="L26" s="33">
        <f t="shared" si="65"/>
        <v>3547.1370000000006</v>
      </c>
      <c r="M26" s="30">
        <f>VLOOKUP(M$9,[2]PC!$C$133:$T$184,18,FALSE)</f>
        <v>1294.193</v>
      </c>
      <c r="N26" s="30">
        <f>VLOOKUP(N$9,[2]PC!$C$133:$T$184,18,FALSE)</f>
        <v>0</v>
      </c>
      <c r="O26" s="30">
        <f>VLOOKUP(O$9,[2]PC!$C$133:$T$184,18,FALSE)</f>
        <v>2109.0100000000002</v>
      </c>
      <c r="P26" s="30">
        <f>VLOOKUP(P$9,[2]PC!$C$133:$T$184,18,FALSE)</f>
        <v>143.934</v>
      </c>
      <c r="Q26" s="33">
        <f t="shared" si="66"/>
        <v>7011.4620000000004</v>
      </c>
      <c r="R26" s="30">
        <f>VLOOKUP(R$9,[2]PC!$C$133:$T$184,18,FALSE)</f>
        <v>5383.3020000000006</v>
      </c>
      <c r="S26" s="30">
        <f>VLOOKUP(S$9,[2]PC!$C$133:$T$184,18,FALSE)</f>
        <v>1628.16</v>
      </c>
      <c r="T26" s="33">
        <f t="shared" si="67"/>
        <v>18779.085687853392</v>
      </c>
      <c r="U26" s="30">
        <f>VLOOKUP(U$9,[2]PC!$C$133:$T$184,18,FALSE)</f>
        <v>3195.4760000000006</v>
      </c>
      <c r="V26" s="30">
        <f>VLOOKUP(V$9,[2]PC!$C$133:$T$184,18,FALSE)</f>
        <v>10665.731</v>
      </c>
      <c r="W26" s="30">
        <f>VLOOKUP(W$9,[2]PC!$C$133:$T$184,18,FALSE)</f>
        <v>364.72237349707649</v>
      </c>
      <c r="X26" s="30">
        <f>VLOOKUP(X$9,[2]PC!$C$133:$T$184,18,FALSE)</f>
        <v>1008.5743143563159</v>
      </c>
      <c r="Y26" s="30">
        <f>VLOOKUP(Y$9,[2]PC!$C$133:$T$184,18,FALSE)</f>
        <v>3544.5819999999994</v>
      </c>
      <c r="Z26" s="33">
        <f t="shared" si="68"/>
        <v>6688.9523121466082</v>
      </c>
      <c r="AA26" s="30">
        <f>VLOOKUP(AA$9,[2]PC!$C$133:$T$184,18,FALSE)</f>
        <v>1875.1411322325253</v>
      </c>
      <c r="AB26" s="30">
        <f>VLOOKUP(AB$9,[2]PC!$C$133:$T$184,18,FALSE)</f>
        <v>682.87199999999996</v>
      </c>
      <c r="AC26" s="30">
        <f>VLOOKUP(AC$9,[2]PC!$C$133:$T$184,18,FALSE)</f>
        <v>1264.7209981833014</v>
      </c>
      <c r="AD26" s="30">
        <f>VLOOKUP(AD$9,[2]PC!$C$133:$T$184,18,FALSE)</f>
        <v>390.61700181669869</v>
      </c>
      <c r="AE26" s="30">
        <f>VLOOKUP(AE$9,[2]PC!$C$133:$T$184,18,FALSE)</f>
        <v>84.96017991408236</v>
      </c>
      <c r="AF26" s="30">
        <f>VLOOKUP(AF$9,[2]PC!$C$133:$T$184,18,FALSE)</f>
        <v>2390.6410000000001</v>
      </c>
      <c r="AG26" s="33">
        <f t="shared" si="69"/>
        <v>5996.0130000000008</v>
      </c>
      <c r="AH26" s="30">
        <f>VLOOKUP(AH$9,[2]PC!$C$133:$T$184,18,FALSE)</f>
        <v>2299.7130735997648</v>
      </c>
      <c r="AI26" s="30">
        <f>VLOOKUP(AI$9,[2]PC!$C$133:$T$184,18,FALSE)</f>
        <v>3225.501776400235</v>
      </c>
      <c r="AJ26" s="30">
        <f>VLOOKUP(AJ$9,[2]PC!$C$133:$T$184,18,FALSE)</f>
        <v>304.92099999999999</v>
      </c>
      <c r="AK26" s="30">
        <f>VLOOKUP(AK$9,[2]PC!$C$133:$T$184,18,FALSE)</f>
        <v>165.87715000000003</v>
      </c>
      <c r="AL26" s="33">
        <f t="shared" si="70"/>
        <v>14827.661</v>
      </c>
      <c r="AM26" s="30">
        <f>VLOOKUP(AM$9,[2]PC!$C$133:$T$184,18,FALSE)</f>
        <v>4572.6279999999997</v>
      </c>
      <c r="AN26" s="30">
        <f>VLOOKUP(AN$9,[2]PC!$C$133:$T$184,18,FALSE)</f>
        <v>8178.6469999999999</v>
      </c>
      <c r="AO26" s="30">
        <f>VLOOKUP(AO$9,[2]PC!$C$133:$T$184,18,FALSE)</f>
        <v>1935.6776489119486</v>
      </c>
      <c r="AP26" s="30">
        <f>VLOOKUP(AP$9,[2]PC!$C$133:$T$184,18,FALSE)</f>
        <v>140.70835108805124</v>
      </c>
      <c r="AQ26" s="33">
        <f t="shared" si="71"/>
        <v>4362.7968027532406</v>
      </c>
      <c r="AR26" s="30">
        <f>VLOOKUP(AR$9,[2]PC!$C$133:$T$184,18,FALSE)</f>
        <v>661.43700000000001</v>
      </c>
      <c r="AS26" s="30">
        <f>VLOOKUP(AS$9,[2]PC!$C$133:$T$184,18,FALSE)</f>
        <v>3.3294272778965479</v>
      </c>
      <c r="AT26" s="30">
        <f>VLOOKUP(AT$9,[2]PC!$C$133:$T$184,18,FALSE)</f>
        <v>3698.0303754753436</v>
      </c>
      <c r="AU26" s="33">
        <f t="shared" si="72"/>
        <v>6629.8661972467598</v>
      </c>
      <c r="AV26" s="30">
        <f>VLOOKUP(AV$9,[2]PC!$C$133:$T$184,18,FALSE)</f>
        <v>654.59820481013799</v>
      </c>
      <c r="AW26" s="30">
        <f>VLOOKUP(AW$9,[2]PC!$C$133:$T$184,18,FALSE)</f>
        <v>528.4133000907641</v>
      </c>
      <c r="AX26" s="30">
        <f>VLOOKUP(AX$9,[2]PC!$C$133:$T$184,18,FALSE)</f>
        <v>909.25159788110659</v>
      </c>
      <c r="AY26" s="30">
        <f>VLOOKUP(AY$9,[2]PC!$C$133:$T$184,18,FALSE)</f>
        <v>1248.4118776521329</v>
      </c>
      <c r="AZ26" s="30">
        <f>VLOOKUP(AZ$9,[2]PC!$C$133:$T$184,18,FALSE)</f>
        <v>64.738367911965312</v>
      </c>
      <c r="BA26" s="30">
        <f>VLOOKUP(BA$9,[2]PC!$C$133:$T$184,18,FALSE)</f>
        <v>967.27684890065291</v>
      </c>
      <c r="BB26" s="30">
        <f>VLOOKUP(BB$9,[2]PC!$C$133:$T$184,18,FALSE)</f>
        <v>1766.701</v>
      </c>
      <c r="BC26" s="30">
        <f>VLOOKUP(BC$9,[2]PC!$C$133:$T$184,18,FALSE)</f>
        <v>490.47500000000002</v>
      </c>
      <c r="BD26" s="33">
        <f t="shared" si="73"/>
        <v>1909.7220000000002</v>
      </c>
      <c r="BE26" s="30">
        <f>VLOOKUP(BE$9,[2]PC!$C$133:$T$184,18,FALSE)</f>
        <v>520.39599999999996</v>
      </c>
      <c r="BF26" s="30">
        <f>VLOOKUP(BF$9,[2]PC!$C$133:$T$184,18,FALSE)</f>
        <v>184.928</v>
      </c>
      <c r="BG26" s="30">
        <f>VLOOKUP(BG$9,[2]PC!$C$133:$T$184,18,FALSE)</f>
        <v>3.4359999999999999</v>
      </c>
      <c r="BH26" s="30">
        <f>VLOOKUP(BH$9,[2]PC!$C$133:$T$184,18,FALSE)</f>
        <v>670.69200000000001</v>
      </c>
      <c r="BI26" s="30">
        <f>VLOOKUP(BI$9,[2]PC!$C$133:$T$184,18,FALSE)</f>
        <v>530.27000000000021</v>
      </c>
      <c r="BJ26" s="33">
        <f t="shared" si="74"/>
        <v>12104.474000000002</v>
      </c>
      <c r="BK26" s="30">
        <f>VLOOKUP(BK$9,[2]PC!$C$133:$T$184,18,FALSE)</f>
        <v>9767.1650000000009</v>
      </c>
      <c r="BL26" s="30">
        <f>VLOOKUP(BL$9,[2]PC!$C$133:$T$184,18,FALSE)</f>
        <v>2337.3090000000002</v>
      </c>
      <c r="BM26" s="33">
        <f t="shared" si="75"/>
        <v>6796.1229999999996</v>
      </c>
      <c r="BN26" s="30">
        <f>VLOOKUP(BN$9,[2]PC!$C$133:$T$184,18,FALSE)</f>
        <v>2943.3209999999999</v>
      </c>
      <c r="BO26" s="30">
        <f>VLOOKUP(BO$9,[2]PC!$C$133:$T$184,18,FALSE)</f>
        <v>3852.8020000000001</v>
      </c>
      <c r="BP26" s="49">
        <f t="shared" si="76"/>
        <v>7316.4809999999998</v>
      </c>
      <c r="BQ26" s="30">
        <f>VLOOKUP(BQ$9,[2]PC!$C$133:$T$184,18,FALSE)</f>
        <v>2536.8740000000003</v>
      </c>
      <c r="BR26" s="30">
        <f>VLOOKUP(BR$9,[2]PC!$C$133:$T$184,18,FALSE)</f>
        <v>1182.914</v>
      </c>
      <c r="BS26" s="30">
        <f>VLOOKUP(BS$9,[2]PC!$C$133:$T$184,18,FALSE)</f>
        <v>1381.4259999999999</v>
      </c>
      <c r="BT26" s="30">
        <f>VLOOKUP(BT$9,[2]PC!$C$133:$T$184,18,FALSE)</f>
        <v>2215.2669999999998</v>
      </c>
      <c r="BU26" s="52"/>
      <c r="BV26" s="52"/>
    </row>
    <row r="27" spans="1:74" ht="15" customHeight="1">
      <c r="A27" s="10">
        <v>2010</v>
      </c>
      <c r="B27" s="33">
        <f t="shared" si="77"/>
        <v>115189.11199999998</v>
      </c>
      <c r="C27" s="31">
        <f>ROUND([5]QRE10!$ES$447/1000,3)</f>
        <v>2096.6390000000001</v>
      </c>
      <c r="D27" s="31">
        <f>(ROUND([5]QRE10!$ES$446/1000,3))*-1</f>
        <v>6895.3249999999998</v>
      </c>
      <c r="E27" s="33">
        <f t="shared" si="78"/>
        <v>119987.79799999998</v>
      </c>
      <c r="F27" s="40">
        <f>ROUND(([6]Apura!$B$15+[6]Apura!$B$16)/1000,3)</f>
        <v>11269.136</v>
      </c>
      <c r="G27" s="40">
        <f>ROUND(([6]Apura!$B$17+[6]Apura!$B$18)/1000,3)</f>
        <v>108718.662</v>
      </c>
      <c r="H27" s="30">
        <f t="shared" si="64"/>
        <v>19079.720999999998</v>
      </c>
      <c r="I27" s="30">
        <f>VLOOKUP(I$9,[6]COICOP18_2!$C$62:$P$113,4,FALSE)</f>
        <v>17945.227999999999</v>
      </c>
      <c r="J27" s="30">
        <f>VLOOKUP(J$9,[6]COICOP18_2!$C$62:$P$113,4,FALSE)</f>
        <v>1134.4929999999999</v>
      </c>
      <c r="K27" s="30">
        <f>VLOOKUP(K$9,[6]COICOP18_2!$C$62:$P$113,4,FALSE)</f>
        <v>0</v>
      </c>
      <c r="L27" s="33">
        <f t="shared" si="65"/>
        <v>3860.8320000000003</v>
      </c>
      <c r="M27" s="30">
        <f>VLOOKUP(M$9,[6]COICOP18_2!$C$62:$P$113,4,FALSE)</f>
        <v>1426.09</v>
      </c>
      <c r="N27" s="30">
        <f>VLOOKUP(N$9,[6]COICOP18_2!$C$62:$P$113,4,FALSE)</f>
        <v>0</v>
      </c>
      <c r="O27" s="30">
        <f>VLOOKUP(O$9,[6]COICOP18_2!$C$62:$P$113,4,FALSE)</f>
        <v>2288.049</v>
      </c>
      <c r="P27" s="30">
        <f>VLOOKUP(P$9,[6]COICOP18_2!$C$62:$P$113,4,FALSE)</f>
        <v>146.69300000000001</v>
      </c>
      <c r="Q27" s="33">
        <f t="shared" si="66"/>
        <v>7309.8680000000004</v>
      </c>
      <c r="R27" s="30">
        <f>VLOOKUP(R$9,[6]COICOP18_2!$C$62:$P$113,4,FALSE)</f>
        <v>5537.8760000000002</v>
      </c>
      <c r="S27" s="30">
        <f>VLOOKUP(S$9,[6]COICOP18_2!$C$62:$P$113,4,FALSE)</f>
        <v>1771.992</v>
      </c>
      <c r="T27" s="33">
        <f t="shared" si="67"/>
        <v>19890.641506541655</v>
      </c>
      <c r="U27" s="30">
        <f>VLOOKUP(U$9,[6]COICOP18_2!$C$62:$P$113,4,FALSE)</f>
        <v>3321.6109999999999</v>
      </c>
      <c r="V27" s="30">
        <f>VLOOKUP(V$9,[6]COICOP18_2!$C$62:$P$113,4,FALSE)</f>
        <v>11305.519</v>
      </c>
      <c r="W27" s="30">
        <f>VLOOKUP(W$9,[6]COICOP18_2!$C$62:$P$113,4,FALSE)</f>
        <v>333.97686103214812</v>
      </c>
      <c r="X27" s="30">
        <f>VLOOKUP(X$9,[6]COICOP18_2!$C$62:$P$113,4,FALSE)</f>
        <v>1089.3486455095062</v>
      </c>
      <c r="Y27" s="30">
        <f>VLOOKUP(Y$9,[6]COICOP18_2!$C$62:$P$113,4,FALSE)</f>
        <v>3840.1860000000001</v>
      </c>
      <c r="Z27" s="33">
        <f t="shared" si="68"/>
        <v>6861.8984934583459</v>
      </c>
      <c r="AA27" s="30">
        <f>VLOOKUP(AA$9,[6]COICOP18_2!$C$62:$P$113,4,FALSE)</f>
        <v>2076.6039999999998</v>
      </c>
      <c r="AB27" s="30">
        <f>VLOOKUP(AB$9,[6]COICOP18_2!$C$62:$P$113,4,FALSE)</f>
        <v>752.01400000000001</v>
      </c>
      <c r="AC27" s="30">
        <f>VLOOKUP(AC$9,[6]COICOP18_2!$C$62:$P$113,4,FALSE)</f>
        <v>1296.1500716484884</v>
      </c>
      <c r="AD27" s="30">
        <f>VLOOKUP(AD$9,[6]COICOP18_2!$C$62:$P$113,4,FALSE)</f>
        <v>377.63692835151164</v>
      </c>
      <c r="AE27" s="30">
        <f>VLOOKUP(AE$9,[6]COICOP18_2!$C$62:$P$113,4,FALSE)</f>
        <v>93.134493458345688</v>
      </c>
      <c r="AF27" s="30">
        <f>VLOOKUP(AF$9,[6]COICOP18_2!$C$62:$P$113,4,FALSE)</f>
        <v>2266.3589999999999</v>
      </c>
      <c r="AG27" s="33">
        <f t="shared" si="69"/>
        <v>5962.2370000000001</v>
      </c>
      <c r="AH27" s="30">
        <f>VLOOKUP(AH$9,[6]COICOP18_2!$C$62:$P$113,4,FALSE)</f>
        <v>2105.4889464661733</v>
      </c>
      <c r="AI27" s="30">
        <f>VLOOKUP(AI$9,[6]COICOP18_2!$C$62:$P$113,4,FALSE)</f>
        <v>3397.8022535338268</v>
      </c>
      <c r="AJ27" s="30">
        <f>VLOOKUP(AJ$9,[6]COICOP18_2!$C$62:$P$113,4,FALSE)</f>
        <v>283.67200000000003</v>
      </c>
      <c r="AK27" s="30">
        <f>VLOOKUP(AK$9,[6]COICOP18_2!$C$62:$P$113,4,FALSE)</f>
        <v>175.27380000000002</v>
      </c>
      <c r="AL27" s="33">
        <f t="shared" si="70"/>
        <v>16767.32</v>
      </c>
      <c r="AM27" s="30">
        <f>VLOOKUP(AM$9,[6]COICOP18_2!$C$62:$P$113,4,FALSE)</f>
        <v>5842.5709999999999</v>
      </c>
      <c r="AN27" s="30">
        <f>VLOOKUP(AN$9,[6]COICOP18_2!$C$62:$P$113,4,FALSE)</f>
        <v>8720.7109999999993</v>
      </c>
      <c r="AO27" s="30">
        <f>VLOOKUP(AO$9,[6]COICOP18_2!$C$62:$P$113,4,FALSE)</f>
        <v>2066.928865206643</v>
      </c>
      <c r="AP27" s="30">
        <f>VLOOKUP(AP$9,[6]COICOP18_2!$C$62:$P$113,4,FALSE)</f>
        <v>137.10913479335719</v>
      </c>
      <c r="AQ27" s="33">
        <f t="shared" si="71"/>
        <v>4496.4616204942604</v>
      </c>
      <c r="AR27" s="30">
        <f>VLOOKUP(AR$9,[6]COICOP18_2!$C$62:$P$113,4,FALSE)</f>
        <v>671.31110000000012</v>
      </c>
      <c r="AS27" s="30">
        <f>VLOOKUP(AS$9,[6]COICOP18_2!$C$62:$P$113,4,FALSE)</f>
        <v>3.0230749190991788</v>
      </c>
      <c r="AT27" s="30">
        <f>VLOOKUP(AT$9,[6]COICOP18_2!$C$62:$P$113,4,FALSE)</f>
        <v>3822.1274455751613</v>
      </c>
      <c r="AU27" s="33">
        <f t="shared" si="72"/>
        <v>6610.7803795057389</v>
      </c>
      <c r="AV27" s="30">
        <f>VLOOKUP(AV$9,[6]COICOP18_2!$C$62:$P$113,4,FALSE)</f>
        <v>540.87978988173859</v>
      </c>
      <c r="AW27" s="30">
        <f>VLOOKUP(AW$9,[6]COICOP18_2!$C$62:$P$113,4,FALSE)</f>
        <v>559.46741887152461</v>
      </c>
      <c r="AX27" s="30">
        <f>VLOOKUP(AX$9,[6]COICOP18_2!$C$62:$P$113,4,FALSE)</f>
        <v>962.6870566732041</v>
      </c>
      <c r="AY27" s="30">
        <f>VLOOKUP(AY$9,[6]COICOP18_2!$C$62:$P$113,4,FALSE)</f>
        <v>1316.9880485948029</v>
      </c>
      <c r="AZ27" s="30">
        <f>VLOOKUP(AZ$9,[6]COICOP18_2!$C$62:$P$113,4,FALSE)</f>
        <v>60.659035199162155</v>
      </c>
      <c r="BA27" s="30">
        <f>VLOOKUP(BA$9,[6]COICOP18_2!$C$62:$P$113,4,FALSE)</f>
        <v>1019.8870302853073</v>
      </c>
      <c r="BB27" s="30">
        <f>VLOOKUP(BB$9,[6]COICOP18_2!$C$62:$P$113,4,FALSE)</f>
        <v>1691.9849999999999</v>
      </c>
      <c r="BC27" s="30">
        <f>VLOOKUP(BC$9,[6]COICOP18_2!$C$62:$P$113,4,FALSE)</f>
        <v>458.22699999999998</v>
      </c>
      <c r="BD27" s="33">
        <f t="shared" si="73"/>
        <v>2071.9459999999999</v>
      </c>
      <c r="BE27" s="30">
        <f>VLOOKUP(BE$9,[6]COICOP18_2!$C$62:$P$113,4,FALSE)</f>
        <v>558.47900000000004</v>
      </c>
      <c r="BF27" s="30">
        <f>VLOOKUP(BF$9,[6]COICOP18_2!$C$62:$P$113,4,FALSE)</f>
        <v>186.14</v>
      </c>
      <c r="BG27" s="30">
        <f>VLOOKUP(BG$9,[6]COICOP18_2!$C$62:$P$113,4,FALSE)</f>
        <v>4.2839999999999998</v>
      </c>
      <c r="BH27" s="30">
        <f>VLOOKUP(BH$9,[6]COICOP18_2!$C$62:$P$113,4,FALSE)</f>
        <v>711.11300000000006</v>
      </c>
      <c r="BI27" s="30">
        <f>VLOOKUP(BI$9,[6]COICOP18_2!$C$62:$P$113,4,FALSE)</f>
        <v>611.92999999999995</v>
      </c>
      <c r="BJ27" s="33">
        <f t="shared" si="74"/>
        <v>12657.637000000001</v>
      </c>
      <c r="BK27" s="30">
        <f>VLOOKUP(BK$9,[6]COICOP18_2!$C$62:$P$113,4,FALSE)</f>
        <v>10183.376</v>
      </c>
      <c r="BL27" s="30">
        <f>VLOOKUP(BL$9,[6]COICOP18_2!$C$62:$P$113,4,FALSE)</f>
        <v>2474.261</v>
      </c>
      <c r="BM27" s="33">
        <f t="shared" si="75"/>
        <v>6962.01</v>
      </c>
      <c r="BN27" s="30">
        <f>VLOOKUP(BN$9,[6]COICOP18_2!$C$62:$P$113,4,FALSE)</f>
        <v>3230.2420000000002</v>
      </c>
      <c r="BO27" s="30">
        <f>VLOOKUP(BO$9,[6]COICOP18_2!$C$62:$P$113,4,FALSE)</f>
        <v>3731.768</v>
      </c>
      <c r="BP27" s="49">
        <f t="shared" si="76"/>
        <v>7456.4449999999997</v>
      </c>
      <c r="BQ27" s="30">
        <f>VLOOKUP(BQ$9,[6]COICOP18_2!$C$62:$P$113,4,FALSE)</f>
        <v>2598.1610000000001</v>
      </c>
      <c r="BR27" s="30">
        <f>VLOOKUP(BR$9,[6]COICOP18_2!$C$62:$P$113,4,FALSE)</f>
        <v>1173.2190000000001</v>
      </c>
      <c r="BS27" s="30">
        <f>VLOOKUP(BS$9,[6]COICOP18_2!$C$62:$P$113,4,FALSE)</f>
        <v>1370.8309999999999</v>
      </c>
      <c r="BT27" s="30">
        <f>VLOOKUP(BT$9,[6]COICOP18_2!$C$62:$P$113,4,FALSE)</f>
        <v>2314.2339999999999</v>
      </c>
      <c r="BU27" s="52"/>
      <c r="BV27" s="52"/>
    </row>
    <row r="28" spans="1:74" ht="15" customHeight="1">
      <c r="A28" s="36">
        <v>2011</v>
      </c>
      <c r="B28" s="33">
        <f t="shared" si="77"/>
        <v>112733.20300000001</v>
      </c>
      <c r="C28" s="31">
        <f>ROUND([7]QRE11!$ES$447/1000,3)</f>
        <v>2111.3690000000001</v>
      </c>
      <c r="D28" s="31">
        <f>(ROUND([7]QRE11!$ES$446/1000,3))*-1</f>
        <v>7388.817</v>
      </c>
      <c r="E28" s="33">
        <f t="shared" si="78"/>
        <v>118010.65100000001</v>
      </c>
      <c r="F28" s="40">
        <f>ROUND(([6]Apura!$D$15+[6]Apura!$D$16)/1000,3)</f>
        <v>9430.1370000000006</v>
      </c>
      <c r="G28" s="40">
        <f>ROUND(([6]Apura!$D$17+[6]Apura!$D$18)/1000,3)</f>
        <v>108580.514</v>
      </c>
      <c r="H28" s="30">
        <f t="shared" si="64"/>
        <v>19424.069</v>
      </c>
      <c r="I28" s="30">
        <f>VLOOKUP(I$9,[6]COICOP18_2!$C$62:$P$113,6,FALSE)</f>
        <v>18251.510999999999</v>
      </c>
      <c r="J28" s="30">
        <f>VLOOKUP(J$9,[6]COICOP18_2!$C$62:$P$113,6,FALSE)</f>
        <v>1172.558</v>
      </c>
      <c r="K28" s="30">
        <f>VLOOKUP(K$9,[6]COICOP18_2!$C$62:$P$113,6,FALSE)</f>
        <v>0</v>
      </c>
      <c r="L28" s="33">
        <f t="shared" si="65"/>
        <v>3915.0080000000003</v>
      </c>
      <c r="M28" s="30">
        <f>VLOOKUP(M$9,[6]COICOP18_2!$C$62:$P$113,6,FALSE)</f>
        <v>1419.155</v>
      </c>
      <c r="N28" s="30">
        <f>VLOOKUP(N$9,[6]COICOP18_2!$C$62:$P$113,6,FALSE)</f>
        <v>0</v>
      </c>
      <c r="O28" s="30">
        <f>VLOOKUP(O$9,[6]COICOP18_2!$C$62:$P$113,6,FALSE)</f>
        <v>2362.86</v>
      </c>
      <c r="P28" s="30">
        <f>VLOOKUP(P$9,[6]COICOP18_2!$C$62:$P$113,6,FALSE)</f>
        <v>132.99299999999999</v>
      </c>
      <c r="Q28" s="33">
        <f t="shared" si="66"/>
        <v>6972.7750000000005</v>
      </c>
      <c r="R28" s="30">
        <f>VLOOKUP(R$9,[6]COICOP18_2!$C$62:$P$113,6,FALSE)</f>
        <v>5223.7120000000004</v>
      </c>
      <c r="S28" s="30">
        <f>VLOOKUP(S$9,[6]COICOP18_2!$C$62:$P$113,6,FALSE)</f>
        <v>1749.0630000000001</v>
      </c>
      <c r="T28" s="33">
        <f t="shared" si="67"/>
        <v>20307.584111335313</v>
      </c>
      <c r="U28" s="30">
        <f>VLOOKUP(U$9,[6]COICOP18_2!$C$62:$P$113,6,FALSE)</f>
        <v>3317.9520000000002</v>
      </c>
      <c r="V28" s="30">
        <f>VLOOKUP(V$9,[6]COICOP18_2!$C$62:$P$113,6,FALSE)</f>
        <v>11506.519</v>
      </c>
      <c r="W28" s="30">
        <f>VLOOKUP(W$9,[6]COICOP18_2!$C$62:$P$113,6,FALSE)</f>
        <v>324.47684292430074</v>
      </c>
      <c r="X28" s="30">
        <f>VLOOKUP(X$9,[6]COICOP18_2!$C$62:$P$113,6,FALSE)</f>
        <v>1180.9112684110123</v>
      </c>
      <c r="Y28" s="30">
        <f>VLOOKUP(Y$9,[6]COICOP18_2!$C$62:$P$113,6,FALSE)</f>
        <v>3977.7249999999999</v>
      </c>
      <c r="Z28" s="33">
        <f t="shared" si="68"/>
        <v>6522.4208886646866</v>
      </c>
      <c r="AA28" s="30">
        <f>VLOOKUP(AA$9,[6]COICOP18_2!$C$62:$P$113,6,FALSE)</f>
        <v>1957.2159999999999</v>
      </c>
      <c r="AB28" s="30">
        <f>VLOOKUP(AB$9,[6]COICOP18_2!$C$62:$P$113,6,FALSE)</f>
        <v>638.53800000000001</v>
      </c>
      <c r="AC28" s="30">
        <f>VLOOKUP(AC$9,[6]COICOP18_2!$C$62:$P$113,6,FALSE)</f>
        <v>1217.3890888153783</v>
      </c>
      <c r="AD28" s="30">
        <f>VLOOKUP(AD$9,[6]COICOP18_2!$C$62:$P$113,6,FALSE)</f>
        <v>385.33191118462173</v>
      </c>
      <c r="AE28" s="30">
        <f>VLOOKUP(AE$9,[6]COICOP18_2!$C$62:$P$113,6,FALSE)</f>
        <v>86.095888664686882</v>
      </c>
      <c r="AF28" s="30">
        <f>VLOOKUP(AF$9,[6]COICOP18_2!$C$62:$P$113,6,FALSE)</f>
        <v>2237.85</v>
      </c>
      <c r="AG28" s="33">
        <f t="shared" si="69"/>
        <v>5843.4530000000004</v>
      </c>
      <c r="AH28" s="30">
        <f>VLOOKUP(AH$9,[6]COICOP18_2!$C$62:$P$113,6,FALSE)</f>
        <v>2128.8915682699485</v>
      </c>
      <c r="AI28" s="30">
        <f>VLOOKUP(AI$9,[6]COICOP18_2!$C$62:$P$113,6,FALSE)</f>
        <v>3272.9227817300516</v>
      </c>
      <c r="AJ28" s="30">
        <f>VLOOKUP(AJ$9,[6]COICOP18_2!$C$62:$P$113,6,FALSE)</f>
        <v>272.97699999999998</v>
      </c>
      <c r="AK28" s="30">
        <f>VLOOKUP(AK$9,[6]COICOP18_2!$C$62:$P$113,6,FALSE)</f>
        <v>168.66165000000001</v>
      </c>
      <c r="AL28" s="33">
        <f t="shared" si="70"/>
        <v>15675.725</v>
      </c>
      <c r="AM28" s="30">
        <f>VLOOKUP(AM$9,[6]COICOP18_2!$C$62:$P$113,6,FALSE)</f>
        <v>4538.2510000000002</v>
      </c>
      <c r="AN28" s="30">
        <f>VLOOKUP(AN$9,[6]COICOP18_2!$C$62:$P$113,6,FALSE)</f>
        <v>9101.15</v>
      </c>
      <c r="AO28" s="30">
        <f>VLOOKUP(AO$9,[6]COICOP18_2!$C$62:$P$113,6,FALSE)</f>
        <v>1906.9539148092454</v>
      </c>
      <c r="AP28" s="30">
        <f>VLOOKUP(AP$9,[6]COICOP18_2!$C$62:$P$113,6,FALSE)</f>
        <v>129.37008519075445</v>
      </c>
      <c r="AQ28" s="33">
        <f t="shared" si="71"/>
        <v>4366.1202158860806</v>
      </c>
      <c r="AR28" s="30">
        <f>VLOOKUP(AR$9,[6]COICOP18_2!$C$62:$P$113,6,FALSE)</f>
        <v>609.40070000000003</v>
      </c>
      <c r="AS28" s="30">
        <f>VLOOKUP(AS$9,[6]COICOP18_2!$C$62:$P$113,6,FALSE)</f>
        <v>2.7359712677890422</v>
      </c>
      <c r="AT28" s="30">
        <f>VLOOKUP(AT$9,[6]COICOP18_2!$C$62:$P$113,6,FALSE)</f>
        <v>3753.9835446182915</v>
      </c>
      <c r="AU28" s="33">
        <f t="shared" si="72"/>
        <v>6325.5597841139206</v>
      </c>
      <c r="AV28" s="30">
        <f>VLOOKUP(AV$9,[6]COICOP18_2!$C$62:$P$113,6,FALSE)</f>
        <v>490.39137651791498</v>
      </c>
      <c r="AW28" s="30">
        <f>VLOOKUP(AW$9,[6]COICOP18_2!$C$62:$P$113,6,FALSE)</f>
        <v>542.71512428691892</v>
      </c>
      <c r="AX28" s="30">
        <f>VLOOKUP(AX$9,[6]COICOP18_2!$C$62:$P$113,6,FALSE)</f>
        <v>933.86103996126394</v>
      </c>
      <c r="AY28" s="30">
        <f>VLOOKUP(AY$9,[6]COICOP18_2!$C$62:$P$113,6,FALSE)</f>
        <v>1341.9977989515544</v>
      </c>
      <c r="AZ28" s="30">
        <f>VLOOKUP(AZ$9,[6]COICOP18_2!$C$62:$P$113,6,FALSE)</f>
        <v>55.988952214295892</v>
      </c>
      <c r="BA28" s="30">
        <f>VLOOKUP(BA$9,[6]COICOP18_2!$C$62:$P$113,6,FALSE)</f>
        <v>1046.3154921819712</v>
      </c>
      <c r="BB28" s="30">
        <f>VLOOKUP(BB$9,[6]COICOP18_2!$C$62:$P$113,6,FALSE)</f>
        <v>1504.288</v>
      </c>
      <c r="BC28" s="30">
        <f>VLOOKUP(BC$9,[6]COICOP18_2!$C$62:$P$113,6,FALSE)</f>
        <v>410.00200000000001</v>
      </c>
      <c r="BD28" s="33">
        <f t="shared" si="73"/>
        <v>2168.44</v>
      </c>
      <c r="BE28" s="30">
        <f>VLOOKUP(BE$9,[6]COICOP18_2!$C$62:$P$113,6,FALSE)</f>
        <v>600.774</v>
      </c>
      <c r="BF28" s="30">
        <f>VLOOKUP(BF$9,[6]COICOP18_2!$C$62:$P$113,6,FALSE)</f>
        <v>200.24</v>
      </c>
      <c r="BG28" s="30">
        <f>VLOOKUP(BG$9,[6]COICOP18_2!$C$62:$P$113,6,FALSE)</f>
        <v>4.609</v>
      </c>
      <c r="BH28" s="30">
        <f>VLOOKUP(BH$9,[6]COICOP18_2!$C$62:$P$113,6,FALSE)</f>
        <v>764.96299999999997</v>
      </c>
      <c r="BI28" s="30">
        <f>VLOOKUP(BI$9,[6]COICOP18_2!$C$62:$P$113,6,FALSE)</f>
        <v>597.85400000000004</v>
      </c>
      <c r="BJ28" s="33">
        <f t="shared" si="74"/>
        <v>12547.543000000001</v>
      </c>
      <c r="BK28" s="30">
        <f>VLOOKUP(BK$9,[6]COICOP18_2!$C$62:$P$113,6,FALSE)</f>
        <v>9892.6640000000007</v>
      </c>
      <c r="BL28" s="30">
        <f>VLOOKUP(BL$9,[6]COICOP18_2!$C$62:$P$113,6,FALSE)</f>
        <v>2654.8789999999999</v>
      </c>
      <c r="BM28" s="33">
        <f t="shared" si="75"/>
        <v>6629.72</v>
      </c>
      <c r="BN28" s="30">
        <f>VLOOKUP(BN$9,[6]COICOP18_2!$C$62:$P$113,6,FALSE)</f>
        <v>3633.3960000000002</v>
      </c>
      <c r="BO28" s="30">
        <f>VLOOKUP(BO$9,[6]COICOP18_2!$C$62:$P$113,6,FALSE)</f>
        <v>2996.3240000000001</v>
      </c>
      <c r="BP28" s="49">
        <f t="shared" si="76"/>
        <v>7312.2330000000002</v>
      </c>
      <c r="BQ28" s="30">
        <f>VLOOKUP(BQ$9,[6]COICOP18_2!$C$62:$P$113,6,FALSE)</f>
        <v>2577.1680000000001</v>
      </c>
      <c r="BR28" s="30">
        <f>VLOOKUP(BR$9,[6]COICOP18_2!$C$62:$P$113,6,FALSE)</f>
        <v>984.20500000000004</v>
      </c>
      <c r="BS28" s="30">
        <f>VLOOKUP(BS$9,[6]COICOP18_2!$C$62:$P$113,6,FALSE)</f>
        <v>1466.932</v>
      </c>
      <c r="BT28" s="30">
        <f>VLOOKUP(BT$9,[6]COICOP18_2!$C$62:$P$113,6,FALSE)</f>
        <v>2283.9279999999999</v>
      </c>
      <c r="BU28" s="52"/>
      <c r="BV28" s="52"/>
    </row>
    <row r="29" spans="1:74" ht="15" customHeight="1">
      <c r="A29" s="36">
        <v>2012</v>
      </c>
      <c r="B29" s="33">
        <f t="shared" ref="B29:B34" si="79">C29-D29+E29</f>
        <v>108533.95799999998</v>
      </c>
      <c r="C29" s="31">
        <f>ROUND([8]QRE12!$ES$447/1000,3)</f>
        <v>2207.0140000000001</v>
      </c>
      <c r="D29" s="31">
        <f>(ROUND([8]QRE12!$ES$446/1000,3))*-1</f>
        <v>7866.0829999999996</v>
      </c>
      <c r="E29" s="33">
        <f t="shared" si="78"/>
        <v>114193.02699999999</v>
      </c>
      <c r="F29" s="40">
        <f>ROUND(([6]Apura!$F$15+[6]Apura!$F$16)/1000,3)</f>
        <v>7250.7520000000004</v>
      </c>
      <c r="G29" s="40">
        <f>ROUND(([6]Apura!$F$17+[6]Apura!$F$18)/1000,3)</f>
        <v>106942.27499999999</v>
      </c>
      <c r="H29" s="30">
        <f t="shared" ref="H29:H39" si="80">I29+J29+K29</f>
        <v>19812.29</v>
      </c>
      <c r="I29" s="30">
        <f>VLOOKUP(I$9,[6]COICOP18_2!$C$62:$P$113,8,FALSE)</f>
        <v>18616.91</v>
      </c>
      <c r="J29" s="30">
        <f>VLOOKUP(J$9,[6]COICOP18_2!$C$62:$P$113,8,FALSE)</f>
        <v>1195.3800000000001</v>
      </c>
      <c r="K29" s="30">
        <f>VLOOKUP(K$9,[6]COICOP18_2!$C$62:$P$113,8,FALSE)</f>
        <v>0</v>
      </c>
      <c r="L29" s="33">
        <f t="shared" si="65"/>
        <v>3742.402</v>
      </c>
      <c r="M29" s="30">
        <f>VLOOKUP(M$9,[6]COICOP18_2!$C$62:$P$113,8,FALSE)</f>
        <v>1450.107</v>
      </c>
      <c r="N29" s="30">
        <f>VLOOKUP(N$9,[6]COICOP18_2!$C$62:$P$113,8,FALSE)</f>
        <v>0</v>
      </c>
      <c r="O29" s="30">
        <f>VLOOKUP(O$9,[6]COICOP18_2!$C$62:$P$113,8,FALSE)</f>
        <v>2170.4630000000002</v>
      </c>
      <c r="P29" s="30">
        <f>VLOOKUP(P$9,[6]COICOP18_2!$C$62:$P$113,8,FALSE)</f>
        <v>121.83199999999999</v>
      </c>
      <c r="Q29" s="33">
        <f t="shared" si="66"/>
        <v>6437.0439999999999</v>
      </c>
      <c r="R29" s="30">
        <f>VLOOKUP(R$9,[6]COICOP18_2!$C$62:$P$113,8,FALSE)</f>
        <v>4767.74</v>
      </c>
      <c r="S29" s="30">
        <f>VLOOKUP(S$9,[6]COICOP18_2!$C$62:$P$113,8,FALSE)</f>
        <v>1669.3040000000001</v>
      </c>
      <c r="T29" s="33">
        <f t="shared" si="67"/>
        <v>21211.748308626342</v>
      </c>
      <c r="U29" s="30">
        <f>VLOOKUP(U$9,[6]COICOP18_2!$C$62:$P$113,8,FALSE)</f>
        <v>3472.9789999999998</v>
      </c>
      <c r="V29" s="30">
        <f>VLOOKUP(V$9,[6]COICOP18_2!$C$62:$P$113,8,FALSE)</f>
        <v>11933.956</v>
      </c>
      <c r="W29" s="30">
        <f>VLOOKUP(W$9,[6]COICOP18_2!$C$62:$P$113,8,FALSE)</f>
        <v>319.32717861338517</v>
      </c>
      <c r="X29" s="30">
        <f>VLOOKUP(X$9,[6]COICOP18_2!$C$62:$P$113,8,FALSE)</f>
        <v>1200.5401300129593</v>
      </c>
      <c r="Y29" s="30">
        <f>VLOOKUP(Y$9,[6]COICOP18_2!$C$62:$P$113,8,FALSE)</f>
        <v>4284.9459999999999</v>
      </c>
      <c r="Z29" s="33">
        <f t="shared" si="68"/>
        <v>5867.9526913736554</v>
      </c>
      <c r="AA29" s="30">
        <f>VLOOKUP(AA$9,[6]COICOP18_2!$C$62:$P$113,8,FALSE)</f>
        <v>1645.91</v>
      </c>
      <c r="AB29" s="30">
        <f>VLOOKUP(AB$9,[6]COICOP18_2!$C$62:$P$113,8,FALSE)</f>
        <v>613.79999999999995</v>
      </c>
      <c r="AC29" s="30">
        <f>VLOOKUP(AC$9,[6]COICOP18_2!$C$62:$P$113,8,FALSE)</f>
        <v>1027.6207066531892</v>
      </c>
      <c r="AD29" s="30">
        <f>VLOOKUP(AD$9,[6]COICOP18_2!$C$62:$P$113,8,FALSE)</f>
        <v>363.15029334681083</v>
      </c>
      <c r="AE29" s="30">
        <f>VLOOKUP(AE$9,[6]COICOP18_2!$C$62:$P$113,8,FALSE)</f>
        <v>86.465691373655645</v>
      </c>
      <c r="AF29" s="30">
        <f>VLOOKUP(AF$9,[6]COICOP18_2!$C$62:$P$113,8,FALSE)</f>
        <v>2131.0059999999999</v>
      </c>
      <c r="AG29" s="33">
        <f t="shared" si="69"/>
        <v>5600.4059999999999</v>
      </c>
      <c r="AH29" s="30">
        <f>VLOOKUP(AH$9,[6]COICOP18_2!$C$62:$P$113,8,FALSE)</f>
        <v>1861.3300539718564</v>
      </c>
      <c r="AI29" s="30">
        <f>VLOOKUP(AI$9,[6]COICOP18_2!$C$62:$P$113,8,FALSE)</f>
        <v>3293.4127460281438</v>
      </c>
      <c r="AJ29" s="30">
        <f>VLOOKUP(AJ$9,[6]COICOP18_2!$C$62:$P$113,8,FALSE)</f>
        <v>275.471</v>
      </c>
      <c r="AK29" s="30">
        <f>VLOOKUP(AK$9,[6]COICOP18_2!$C$62:$P$113,8,FALSE)</f>
        <v>170.19220000000001</v>
      </c>
      <c r="AL29" s="33">
        <f t="shared" si="70"/>
        <v>13877.019</v>
      </c>
      <c r="AM29" s="30">
        <f>VLOOKUP(AM$9,[6]COICOP18_2!$C$62:$P$113,8,FALSE)</f>
        <v>3004.8330000000001</v>
      </c>
      <c r="AN29" s="30">
        <f>VLOOKUP(AN$9,[6]COICOP18_2!$C$62:$P$113,8,FALSE)</f>
        <v>8809.2350000000006</v>
      </c>
      <c r="AO29" s="30">
        <f>VLOOKUP(AO$9,[6]COICOP18_2!$C$62:$P$113,8,FALSE)</f>
        <v>1938.9911970138057</v>
      </c>
      <c r="AP29" s="30">
        <f>VLOOKUP(AP$9,[6]COICOP18_2!$C$62:$P$113,8,FALSE)</f>
        <v>123.95980298619411</v>
      </c>
      <c r="AQ29" s="33">
        <f t="shared" si="71"/>
        <v>4249.1295126995174</v>
      </c>
      <c r="AR29" s="30">
        <f>VLOOKUP(AR$9,[6]COICOP18_2!$C$62:$P$113,8,FALSE)</f>
        <v>592.88015000000007</v>
      </c>
      <c r="AS29" s="30">
        <f>VLOOKUP(AS$9,[6]COICOP18_2!$C$62:$P$113,8,FALSE)</f>
        <v>2.6581382231365707</v>
      </c>
      <c r="AT29" s="30">
        <f>VLOOKUP(AT$9,[6]COICOP18_2!$C$62:$P$113,8,FALSE)</f>
        <v>3653.5912244763804</v>
      </c>
      <c r="AU29" s="33">
        <f t="shared" si="72"/>
        <v>5970.0404873004827</v>
      </c>
      <c r="AV29" s="30">
        <f>VLOOKUP(AV$9,[6]COICOP18_2!$C$62:$P$113,8,FALSE)</f>
        <v>468.69029776015822</v>
      </c>
      <c r="AW29" s="30">
        <f>VLOOKUP(AW$9,[6]COICOP18_2!$C$62:$P$113,8,FALSE)</f>
        <v>504.34544516740459</v>
      </c>
      <c r="AX29" s="30">
        <f>VLOOKUP(AX$9,[6]COICOP18_2!$C$62:$P$113,8,FALSE)</f>
        <v>867.83754652608513</v>
      </c>
      <c r="AY29" s="30">
        <f>VLOOKUP(AY$9,[6]COICOP18_2!$C$62:$P$113,8,FALSE)</f>
        <v>1314.9005591594596</v>
      </c>
      <c r="AZ29" s="30">
        <f>VLOOKUP(AZ$9,[6]COICOP18_2!$C$62:$P$113,8,FALSE)</f>
        <v>44.782414016705133</v>
      </c>
      <c r="BA29" s="30">
        <f>VLOOKUP(BA$9,[6]COICOP18_2!$C$62:$P$113,8,FALSE)</f>
        <v>1032.2582246706706</v>
      </c>
      <c r="BB29" s="30">
        <f>VLOOKUP(BB$9,[6]COICOP18_2!$C$62:$P$113,8,FALSE)</f>
        <v>1336.79</v>
      </c>
      <c r="BC29" s="30">
        <f>VLOOKUP(BC$9,[6]COICOP18_2!$C$62:$P$113,8,FALSE)</f>
        <v>400.43599999999998</v>
      </c>
      <c r="BD29" s="33">
        <f t="shared" si="73"/>
        <v>2007.222</v>
      </c>
      <c r="BE29" s="30">
        <f>VLOOKUP(BE$9,[6]COICOP18_2!$C$62:$P$113,8,FALSE)</f>
        <v>558.75300000000004</v>
      </c>
      <c r="BF29" s="30">
        <f>VLOOKUP(BF$9,[6]COICOP18_2!$C$62:$P$113,8,FALSE)</f>
        <v>186.23099999999999</v>
      </c>
      <c r="BG29" s="30">
        <f>VLOOKUP(BG$9,[6]COICOP18_2!$C$62:$P$113,8,FALSE)</f>
        <v>4.2859999999999996</v>
      </c>
      <c r="BH29" s="30">
        <f>VLOOKUP(BH$9,[6]COICOP18_2!$C$62:$P$113,8,FALSE)</f>
        <v>711.46</v>
      </c>
      <c r="BI29" s="30">
        <f>VLOOKUP(BI$9,[6]COICOP18_2!$C$62:$P$113,8,FALSE)</f>
        <v>546.49199999999996</v>
      </c>
      <c r="BJ29" s="33">
        <f t="shared" si="74"/>
        <v>12543.264999999999</v>
      </c>
      <c r="BK29" s="30">
        <f>VLOOKUP(BK$9,[6]COICOP18_2!$C$62:$P$113,8,FALSE)</f>
        <v>9570.7749999999996</v>
      </c>
      <c r="BL29" s="30">
        <f>VLOOKUP(BL$9,[6]COICOP18_2!$C$62:$P$113,8,FALSE)</f>
        <v>2972.49</v>
      </c>
      <c r="BM29" s="33">
        <f t="shared" si="75"/>
        <v>5808.1419999999998</v>
      </c>
      <c r="BN29" s="30">
        <f>VLOOKUP(BN$9,[6]COICOP18_2!$C$62:$P$113,8,FALSE)</f>
        <v>3109.5230000000001</v>
      </c>
      <c r="BO29" s="30">
        <f>VLOOKUP(BO$9,[6]COICOP18_2!$C$62:$P$113,8,FALSE)</f>
        <v>2698.6190000000001</v>
      </c>
      <c r="BP29" s="49">
        <f t="shared" si="76"/>
        <v>7066.366</v>
      </c>
      <c r="BQ29" s="30">
        <f>VLOOKUP(BQ$9,[6]COICOP18_2!$C$62:$P$113,8,FALSE)</f>
        <v>2487.6439999999998</v>
      </c>
      <c r="BR29" s="30">
        <f>VLOOKUP(BR$9,[6]COICOP18_2!$C$62:$P$113,8,FALSE)</f>
        <v>879.78599999999994</v>
      </c>
      <c r="BS29" s="30">
        <f>VLOOKUP(BS$9,[6]COICOP18_2!$C$62:$P$113,8,FALSE)</f>
        <v>1460.559</v>
      </c>
      <c r="BT29" s="30">
        <f>VLOOKUP(BT$9,[6]COICOP18_2!$C$62:$P$113,8,FALSE)</f>
        <v>2238.377</v>
      </c>
      <c r="BU29" s="52"/>
      <c r="BV29" s="52"/>
    </row>
    <row r="30" spans="1:74" s="41" customFormat="1" ht="15" customHeight="1">
      <c r="A30" s="36">
        <v>2013</v>
      </c>
      <c r="B30" s="33">
        <f t="shared" si="79"/>
        <v>108188.89200000002</v>
      </c>
      <c r="C30" s="31">
        <f>ROUND([9]QRE13!$ES$447/1000,3)</f>
        <v>2156.1570000000002</v>
      </c>
      <c r="D30" s="31">
        <f>(ROUND([9]QRE13!$ES$446/1000,3))*-1</f>
        <v>8346.1409999999996</v>
      </c>
      <c r="E30" s="33">
        <f t="shared" si="78"/>
        <v>114378.87600000002</v>
      </c>
      <c r="F30" s="40">
        <f>ROUND(([6]Apura!$H$15+[6]Apura!$H$16)/1000,3)</f>
        <v>7310.2259999999997</v>
      </c>
      <c r="G30" s="40">
        <f>ROUND(([6]Apura!$H$17+[6]Apura!$H$18)/1000,3)</f>
        <v>107068.65</v>
      </c>
      <c r="H30" s="30">
        <f t="shared" si="80"/>
        <v>20397.238000000001</v>
      </c>
      <c r="I30" s="30">
        <f>VLOOKUP(I$9,[6]COICOP18_2!$C$62:$P$113,10,FALSE)</f>
        <v>19246.755000000001</v>
      </c>
      <c r="J30" s="30">
        <f>VLOOKUP(J$9,[6]COICOP18_2!$C$62:$P$113,10,FALSE)</f>
        <v>1150.4829999999999</v>
      </c>
      <c r="K30" s="30">
        <f>VLOOKUP(K$9,[6]COICOP18_2!$C$62:$P$113,10,FALSE)</f>
        <v>0</v>
      </c>
      <c r="L30" s="33">
        <f t="shared" ref="L30:L32" si="81">M30+N30+O30+P30</f>
        <v>3673.1419999999994</v>
      </c>
      <c r="M30" s="30">
        <f>VLOOKUP(M$9,[6]COICOP18_2!$C$62:$P$113,10,FALSE)</f>
        <v>1505.7329999999999</v>
      </c>
      <c r="N30" s="30">
        <f>VLOOKUP(N$9,[6]COICOP18_2!$C$62:$P$113,10,FALSE)</f>
        <v>0</v>
      </c>
      <c r="O30" s="30">
        <f>VLOOKUP(O$9,[6]COICOP18_2!$C$62:$P$113,10,FALSE)</f>
        <v>2057.3229999999999</v>
      </c>
      <c r="P30" s="30">
        <f>VLOOKUP(P$9,[6]COICOP18_2!$C$62:$P$113,10,FALSE)</f>
        <v>110.086</v>
      </c>
      <c r="Q30" s="33">
        <f t="shared" ref="Q30:Q32" si="82">R30+S30</f>
        <v>6686.7849999999999</v>
      </c>
      <c r="R30" s="30">
        <f>VLOOKUP(R$9,[6]COICOP18_2!$C$62:$P$113,10,FALSE)</f>
        <v>4951.5659999999998</v>
      </c>
      <c r="S30" s="30">
        <f>VLOOKUP(S$9,[6]COICOP18_2!$C$62:$P$113,10,FALSE)</f>
        <v>1735.2190000000001</v>
      </c>
      <c r="T30" s="33">
        <f t="shared" ref="T30:T32" si="83">U30+V30+W30+X30+Y30</f>
        <v>21766.699054831191</v>
      </c>
      <c r="U30" s="30">
        <f>VLOOKUP(U$9,[6]COICOP18_2!$C$62:$P$113,10,FALSE)</f>
        <v>3724.2809999999999</v>
      </c>
      <c r="V30" s="30">
        <f>VLOOKUP(V$9,[6]COICOP18_2!$C$62:$P$113,10,FALSE)</f>
        <v>12299.195</v>
      </c>
      <c r="W30" s="30">
        <f>VLOOKUP(W$9,[6]COICOP18_2!$C$62:$P$113,10,FALSE)</f>
        <v>323.43110748353979</v>
      </c>
      <c r="X30" s="30">
        <f>VLOOKUP(X$9,[6]COICOP18_2!$C$62:$P$113,10,FALSE)</f>
        <v>1192.1249473476516</v>
      </c>
      <c r="Y30" s="30">
        <f>VLOOKUP(Y$9,[6]COICOP18_2!$C$62:$P$113,10,FALSE)</f>
        <v>4227.6670000000004</v>
      </c>
      <c r="Z30" s="33">
        <f t="shared" ref="Z30:Z32" si="84">AA30+AB30+AC30+AD30+AE30+AF30</f>
        <v>5707.4479451688085</v>
      </c>
      <c r="AA30" s="30">
        <f>VLOOKUP(AA$9,[6]COICOP18_2!$C$62:$P$113,10,FALSE)</f>
        <v>1497.6880000000001</v>
      </c>
      <c r="AB30" s="30">
        <f>VLOOKUP(AB$9,[6]COICOP18_2!$C$62:$P$113,10,FALSE)</f>
        <v>622.19200000000001</v>
      </c>
      <c r="AC30" s="30">
        <f>VLOOKUP(AC$9,[6]COICOP18_2!$C$62:$P$113,10,FALSE)</f>
        <v>1061.6814270609093</v>
      </c>
      <c r="AD30" s="30">
        <f>VLOOKUP(AD$9,[6]COICOP18_2!$C$62:$P$113,10,FALSE)</f>
        <v>345.58157293909062</v>
      </c>
      <c r="AE30" s="30">
        <f>VLOOKUP(AE$9,[6]COICOP18_2!$C$62:$P$113,10,FALSE)</f>
        <v>93.014945168808367</v>
      </c>
      <c r="AF30" s="30">
        <f>VLOOKUP(AF$9,[6]COICOP18_2!$C$62:$P$113,10,FALSE)</f>
        <v>2087.29</v>
      </c>
      <c r="AG30" s="33">
        <f t="shared" ref="AG30:AG32" si="85">AH30+AI30+AJ30+AK30</f>
        <v>5708.3990000000003</v>
      </c>
      <c r="AH30" s="30">
        <f>VLOOKUP(AH$9,[6]COICOP18_2!$C$62:$P$113,10,FALSE)</f>
        <v>1850.4590836713533</v>
      </c>
      <c r="AI30" s="30">
        <f>VLOOKUP(AI$9,[6]COICOP18_2!$C$62:$P$113,10,FALSE)</f>
        <v>3397.804066328647</v>
      </c>
      <c r="AJ30" s="30">
        <f>VLOOKUP(AJ$9,[6]COICOP18_2!$C$62:$P$113,10,FALSE)</f>
        <v>284.43099999999998</v>
      </c>
      <c r="AK30" s="30">
        <f>VLOOKUP(AK$9,[6]COICOP18_2!$C$62:$P$113,10,FALSE)</f>
        <v>175.70485000000002</v>
      </c>
      <c r="AL30" s="33">
        <f t="shared" ref="AL30:AL32" si="86">AM30+AN30+AO30+AP30</f>
        <v>13522.574000000001</v>
      </c>
      <c r="AM30" s="30">
        <f>VLOOKUP(AM$9,[6]COICOP18_2!$C$62:$P$113,10,FALSE)</f>
        <v>3143.366</v>
      </c>
      <c r="AN30" s="30">
        <f>VLOOKUP(AN$9,[6]COICOP18_2!$C$62:$P$113,10,FALSE)</f>
        <v>8179.2920000000004</v>
      </c>
      <c r="AO30" s="30">
        <f>VLOOKUP(AO$9,[6]COICOP18_2!$C$62:$P$113,10,FALSE)</f>
        <v>2072.2752281885678</v>
      </c>
      <c r="AP30" s="30">
        <f>VLOOKUP(AP$9,[6]COICOP18_2!$C$62:$P$113,10,FALSE)</f>
        <v>127.64077181143239</v>
      </c>
      <c r="AQ30" s="33">
        <f t="shared" ref="AQ30:AQ32" si="87">AR30+AS30+AT30</f>
        <v>3945.2996904119077</v>
      </c>
      <c r="AR30" s="30">
        <f>VLOOKUP(AR$9,[6]COICOP18_2!$C$62:$P$113,10,FALSE)</f>
        <v>546.15025000000003</v>
      </c>
      <c r="AS30" s="30">
        <f>VLOOKUP(AS$9,[6]COICOP18_2!$C$62:$P$113,10,FALSE)</f>
        <v>2.4171226392965779</v>
      </c>
      <c r="AT30" s="30">
        <f>VLOOKUP(AT$9,[6]COICOP18_2!$C$62:$P$113,10,FALSE)</f>
        <v>3396.7323177726112</v>
      </c>
      <c r="AU30" s="33">
        <f t="shared" ref="AU30:AU32" si="88">AV30+AW30+AX30+AY30+AZ30+BA30+BB30+BC30</f>
        <v>5744.0613095880926</v>
      </c>
      <c r="AV30" s="30">
        <f>VLOOKUP(AV$9,[6]COICOP18_2!$C$62:$P$113,10,FALSE)</f>
        <v>431.14145207829188</v>
      </c>
      <c r="AW30" s="30">
        <f>VLOOKUP(AW$9,[6]COICOP18_2!$C$62:$P$113,10,FALSE)</f>
        <v>490.46154866280472</v>
      </c>
      <c r="AX30" s="30">
        <f>VLOOKUP(AX$9,[6]COICOP18_2!$C$62:$P$113,10,FALSE)</f>
        <v>843.9472411922585</v>
      </c>
      <c r="AY30" s="30">
        <f>VLOOKUP(AY$9,[6]COICOP18_2!$C$62:$P$113,10,FALSE)</f>
        <v>1279.7170626703551</v>
      </c>
      <c r="AZ30" s="30">
        <f>VLOOKUP(AZ$9,[6]COICOP18_2!$C$62:$P$113,10,FALSE)</f>
        <v>46.859175282411513</v>
      </c>
      <c r="BA30" s="30">
        <f>VLOOKUP(BA$9,[6]COICOP18_2!$C$62:$P$113,10,FALSE)</f>
        <v>1004.7378297019709</v>
      </c>
      <c r="BB30" s="30">
        <f>VLOOKUP(BB$9,[6]COICOP18_2!$C$62:$P$113,10,FALSE)</f>
        <v>1262.9860000000001</v>
      </c>
      <c r="BC30" s="30">
        <f>VLOOKUP(BC$9,[6]COICOP18_2!$C$62:$P$113,10,FALSE)</f>
        <v>384.21100000000001</v>
      </c>
      <c r="BD30" s="33">
        <f t="shared" ref="BD30:BD32" si="89">BE30+BF30+BG30+BH30+BI30</f>
        <v>1909.172</v>
      </c>
      <c r="BE30" s="30">
        <f>VLOOKUP(BE$9,[6]COICOP18_2!$C$62:$P$113,10,FALSE)</f>
        <v>534.13</v>
      </c>
      <c r="BF30" s="30">
        <f>VLOOKUP(BF$9,[6]COICOP18_2!$C$62:$P$113,10,FALSE)</f>
        <v>178.02199999999999</v>
      </c>
      <c r="BG30" s="30">
        <f>VLOOKUP(BG$9,[6]COICOP18_2!$C$62:$P$113,10,FALSE)</f>
        <v>4.0970000000000004</v>
      </c>
      <c r="BH30" s="30">
        <f>VLOOKUP(BH$9,[6]COICOP18_2!$C$62:$P$113,10,FALSE)</f>
        <v>680.10500000000002</v>
      </c>
      <c r="BI30" s="30">
        <f>VLOOKUP(BI$9,[6]COICOP18_2!$C$62:$P$113,10,FALSE)</f>
        <v>512.81799999999998</v>
      </c>
      <c r="BJ30" s="33">
        <f t="shared" ref="BJ30:BJ32" si="90">BK30+BL30</f>
        <v>12456.109</v>
      </c>
      <c r="BK30" s="30">
        <f>VLOOKUP(BK$9,[6]COICOP18_2!$C$62:$P$113,10,FALSE)</f>
        <v>9271.9150000000009</v>
      </c>
      <c r="BL30" s="30">
        <f>VLOOKUP(BL$9,[6]COICOP18_2!$C$62:$P$113,10,FALSE)</f>
        <v>3184.194</v>
      </c>
      <c r="BM30" s="33">
        <f t="shared" ref="BM30:BM32" si="91">BN30+BO30</f>
        <v>5646.2169999999996</v>
      </c>
      <c r="BN30" s="30">
        <f>VLOOKUP(BN$9,[6]COICOP18_2!$C$62:$P$113,10,FALSE)</f>
        <v>2909.2959999999998</v>
      </c>
      <c r="BO30" s="30">
        <f>VLOOKUP(BO$9,[6]COICOP18_2!$C$62:$P$113,10,FALSE)</f>
        <v>2736.9209999999998</v>
      </c>
      <c r="BP30" s="49">
        <f t="shared" ref="BP30:BP32" si="92">BQ30+BR30+BS30+BT30</f>
        <v>7215.7320000000009</v>
      </c>
      <c r="BQ30" s="30">
        <f>VLOOKUP(BQ$9,[6]COICOP18_2!$C$62:$P$113,10,FALSE)</f>
        <v>2497.491</v>
      </c>
      <c r="BR30" s="30">
        <f>VLOOKUP(BR$9,[6]COICOP18_2!$C$62:$P$113,10,FALSE)</f>
        <v>1017.626</v>
      </c>
      <c r="BS30" s="30">
        <f>VLOOKUP(BS$9,[6]COICOP18_2!$C$62:$P$113,10,FALSE)</f>
        <v>1527.4580000000001</v>
      </c>
      <c r="BT30" s="30">
        <f>VLOOKUP(BT$9,[6]COICOP18_2!$C$62:$P$113,10,FALSE)</f>
        <v>2173.1570000000002</v>
      </c>
      <c r="BU30" s="52"/>
      <c r="BV30" s="52"/>
    </row>
    <row r="31" spans="1:74" s="41" customFormat="1" ht="15" customHeight="1">
      <c r="A31" s="36">
        <v>2014</v>
      </c>
      <c r="B31" s="33">
        <f t="shared" si="79"/>
        <v>110991.587</v>
      </c>
      <c r="C31" s="31">
        <f>ROUND([10]QRE14!$ES$447/1000,3)</f>
        <v>2294.982</v>
      </c>
      <c r="D31" s="31">
        <f>(ROUND([10]QRE14!$ES$446/1000,3))*-1</f>
        <v>9372.9869999999992</v>
      </c>
      <c r="E31" s="33">
        <f t="shared" si="78"/>
        <v>118069.592</v>
      </c>
      <c r="F31" s="40">
        <f>ROUND(([6]Apura!$J$15+[6]Apura!$J$16)/1000,3)</f>
        <v>8576.7430000000004</v>
      </c>
      <c r="G31" s="40">
        <f>ROUND(([6]Apura!$J$17+[6]Apura!$J$18)/1000,3)</f>
        <v>109492.849</v>
      </c>
      <c r="H31" s="30">
        <f t="shared" si="80"/>
        <v>20436.921999999999</v>
      </c>
      <c r="I31" s="30">
        <f>VLOOKUP(I$9,[6]COICOP18_2!$C$62:$P$113,12,FALSE)</f>
        <v>19318.05</v>
      </c>
      <c r="J31" s="30">
        <f>VLOOKUP(J$9,[6]COICOP18_2!$C$62:$P$113,12,FALSE)</f>
        <v>1118.8720000000001</v>
      </c>
      <c r="K31" s="30">
        <f>VLOOKUP(K$9,[6]COICOP18_2!$C$62:$P$113,12,FALSE)</f>
        <v>0</v>
      </c>
      <c r="L31" s="33">
        <f t="shared" si="81"/>
        <v>3759.3340000000003</v>
      </c>
      <c r="M31" s="30">
        <f>VLOOKUP(M$9,[6]COICOP18_2!$C$62:$P$113,12,FALSE)</f>
        <v>1599.4659999999999</v>
      </c>
      <c r="N31" s="30">
        <f>VLOOKUP(N$9,[6]COICOP18_2!$C$62:$P$113,12,FALSE)</f>
        <v>0</v>
      </c>
      <c r="O31" s="30">
        <f>VLOOKUP(O$9,[6]COICOP18_2!$C$62:$P$113,12,FALSE)</f>
        <v>2029.963</v>
      </c>
      <c r="P31" s="30">
        <f>VLOOKUP(P$9,[6]COICOP18_2!$C$62:$P$113,12,FALSE)</f>
        <v>129.905</v>
      </c>
      <c r="Q31" s="33">
        <f t="shared" si="82"/>
        <v>7383.9939999999997</v>
      </c>
      <c r="R31" s="30">
        <f>VLOOKUP(R$9,[6]COICOP18_2!$C$62:$P$113,12,FALSE)</f>
        <v>5432.8519999999999</v>
      </c>
      <c r="S31" s="30">
        <f>VLOOKUP(S$9,[6]COICOP18_2!$C$62:$P$113,12,FALSE)</f>
        <v>1951.1420000000001</v>
      </c>
      <c r="T31" s="33">
        <f t="shared" si="83"/>
        <v>22710.067651499106</v>
      </c>
      <c r="U31" s="30">
        <f>VLOOKUP(U$9,[6]COICOP18_2!$C$62:$P$113,12,FALSE)</f>
        <v>3984.703</v>
      </c>
      <c r="V31" s="30">
        <f>VLOOKUP(V$9,[6]COICOP18_2!$C$62:$P$113,12,FALSE)</f>
        <v>12801.162</v>
      </c>
      <c r="W31" s="30">
        <f>VLOOKUP(W$9,[6]COICOP18_2!$C$62:$P$113,12,FALSE)</f>
        <v>339.22211063537492</v>
      </c>
      <c r="X31" s="30">
        <f>VLOOKUP(X$9,[6]COICOP18_2!$C$62:$P$113,12,FALSE)</f>
        <v>1190.8645408637303</v>
      </c>
      <c r="Y31" s="30">
        <f>VLOOKUP(Y$9,[6]COICOP18_2!$C$62:$P$113,12,FALSE)</f>
        <v>4394.116</v>
      </c>
      <c r="Z31" s="33">
        <f t="shared" si="84"/>
        <v>5826.1023485008955</v>
      </c>
      <c r="AA31" s="30">
        <f>VLOOKUP(AA$9,[6]COICOP18_2!$C$62:$P$113,12,FALSE)</f>
        <v>1525.489</v>
      </c>
      <c r="AB31" s="30">
        <f>VLOOKUP(AB$9,[6]COICOP18_2!$C$62:$P$113,12,FALSE)</f>
        <v>610.03800000000001</v>
      </c>
      <c r="AC31" s="30">
        <f>VLOOKUP(AC$9,[6]COICOP18_2!$C$62:$P$113,12,FALSE)</f>
        <v>1126.7310912556632</v>
      </c>
      <c r="AD31" s="30">
        <f>VLOOKUP(AD$9,[6]COICOP18_2!$C$62:$P$113,12,FALSE)</f>
        <v>342.8549087443368</v>
      </c>
      <c r="AE31" s="30">
        <f>VLOOKUP(AE$9,[6]COICOP18_2!$C$62:$P$113,12,FALSE)</f>
        <v>99.736348500894806</v>
      </c>
      <c r="AF31" s="30">
        <f>VLOOKUP(AF$9,[6]COICOP18_2!$C$62:$P$113,12,FALSE)</f>
        <v>2121.2530000000002</v>
      </c>
      <c r="AG31" s="33">
        <f t="shared" si="85"/>
        <v>5640.1530000000002</v>
      </c>
      <c r="AH31" s="30">
        <f>VLOOKUP(AH$9,[6]COICOP18_2!$C$62:$P$113,12,FALSE)</f>
        <v>1711.2544680782592</v>
      </c>
      <c r="AI31" s="30">
        <f>VLOOKUP(AI$9,[6]COICOP18_2!$C$62:$P$113,12,FALSE)</f>
        <v>3459.6313819217403</v>
      </c>
      <c r="AJ31" s="30">
        <f>VLOOKUP(AJ$9,[6]COICOP18_2!$C$62:$P$113,12,FALSE)</f>
        <v>290.07299999999998</v>
      </c>
      <c r="AK31" s="30">
        <f>VLOOKUP(AK$9,[6]COICOP18_2!$C$62:$P$113,12,FALSE)</f>
        <v>179.19415000000001</v>
      </c>
      <c r="AL31" s="33">
        <f t="shared" si="86"/>
        <v>14683.932000000001</v>
      </c>
      <c r="AM31" s="30">
        <f>VLOOKUP(AM$9,[6]COICOP18_2!$C$62:$P$113,12,FALSE)</f>
        <v>4150.223</v>
      </c>
      <c r="AN31" s="30">
        <f>VLOOKUP(AN$9,[6]COICOP18_2!$C$62:$P$113,12,FALSE)</f>
        <v>8230.5959999999995</v>
      </c>
      <c r="AO31" s="30">
        <f>VLOOKUP(AO$9,[6]COICOP18_2!$C$62:$P$113,12,FALSE)</f>
        <v>2170.3390957641195</v>
      </c>
      <c r="AP31" s="30">
        <f>VLOOKUP(AP$9,[6]COICOP18_2!$C$62:$P$113,12,FALSE)</f>
        <v>132.77390423588065</v>
      </c>
      <c r="AQ31" s="33">
        <f t="shared" si="87"/>
        <v>3757.5024724592595</v>
      </c>
      <c r="AR31" s="30">
        <f>VLOOKUP(AR$9,[6]COICOP18_2!$C$62:$P$113,12,FALSE)</f>
        <v>545.28555000000006</v>
      </c>
      <c r="AS31" s="30">
        <f>VLOOKUP(AS$9,[6]COICOP18_2!$C$62:$P$113,12,FALSE)</f>
        <v>2.3737718237763601</v>
      </c>
      <c r="AT31" s="30">
        <f>VLOOKUP(AT$9,[6]COICOP18_2!$C$62:$P$113,12,FALSE)</f>
        <v>3209.8431506354832</v>
      </c>
      <c r="AU31" s="33">
        <f t="shared" si="88"/>
        <v>5826.7325275407402</v>
      </c>
      <c r="AV31" s="30">
        <f>VLOOKUP(AV$9,[6]COICOP18_2!$C$62:$P$113,12,FALSE)</f>
        <v>421.52939446705432</v>
      </c>
      <c r="AW31" s="30">
        <f>VLOOKUP(AW$9,[6]COICOP18_2!$C$62:$P$113,12,FALSE)</f>
        <v>483.80856471193346</v>
      </c>
      <c r="AX31" s="30">
        <f>VLOOKUP(AX$9,[6]COICOP18_2!$C$62:$P$113,12,FALSE)</f>
        <v>832.49931532255005</v>
      </c>
      <c r="AY31" s="30">
        <f>VLOOKUP(AY$9,[6]COICOP18_2!$C$62:$P$113,12,FALSE)</f>
        <v>1344.1964126929761</v>
      </c>
      <c r="AZ31" s="30">
        <f>VLOOKUP(AZ$9,[6]COICOP18_2!$C$62:$P$113,12,FALSE)</f>
        <v>43.687283709169208</v>
      </c>
      <c r="BA31" s="30">
        <f>VLOOKUP(BA$9,[6]COICOP18_2!$C$62:$P$113,12,FALSE)</f>
        <v>1063.4515566370571</v>
      </c>
      <c r="BB31" s="30">
        <f>VLOOKUP(BB$9,[6]COICOP18_2!$C$62:$P$113,12,FALSE)</f>
        <v>1257.7819999999999</v>
      </c>
      <c r="BC31" s="30">
        <f>VLOOKUP(BC$9,[6]COICOP18_2!$C$62:$P$113,12,FALSE)</f>
        <v>379.77800000000002</v>
      </c>
      <c r="BD31" s="33">
        <f t="shared" si="89"/>
        <v>1907.9580000000001</v>
      </c>
      <c r="BE31" s="30">
        <f>VLOOKUP(BE$9,[6]COICOP18_2!$C$62:$P$113,12,FALSE)</f>
        <v>523.82799999999997</v>
      </c>
      <c r="BF31" s="30">
        <f>VLOOKUP(BF$9,[6]COICOP18_2!$C$62:$P$113,12,FALSE)</f>
        <v>174.59</v>
      </c>
      <c r="BG31" s="30">
        <f>VLOOKUP(BG$9,[6]COICOP18_2!$C$62:$P$113,12,FALSE)</f>
        <v>4.0190000000000001</v>
      </c>
      <c r="BH31" s="30">
        <f>VLOOKUP(BH$9,[6]COICOP18_2!$C$62:$P$113,12,FALSE)</f>
        <v>666.98</v>
      </c>
      <c r="BI31" s="30">
        <f>VLOOKUP(BI$9,[6]COICOP18_2!$C$62:$P$113,12,FALSE)</f>
        <v>538.54100000000005</v>
      </c>
      <c r="BJ31" s="33">
        <f t="shared" si="90"/>
        <v>13320.548000000001</v>
      </c>
      <c r="BK31" s="30">
        <f>VLOOKUP(BK$9,[6]COICOP18_2!$C$62:$P$113,12,FALSE)</f>
        <v>9870.1980000000003</v>
      </c>
      <c r="BL31" s="30">
        <f>VLOOKUP(BL$9,[6]COICOP18_2!$C$62:$P$113,12,FALSE)</f>
        <v>3450.35</v>
      </c>
      <c r="BM31" s="33">
        <f t="shared" si="91"/>
        <v>5203.0879999999997</v>
      </c>
      <c r="BN31" s="30">
        <f>VLOOKUP(BN$9,[6]COICOP18_2!$C$62:$P$113,12,FALSE)</f>
        <v>2781.9070000000002</v>
      </c>
      <c r="BO31" s="30">
        <f>VLOOKUP(BO$9,[6]COICOP18_2!$C$62:$P$113,12,FALSE)</f>
        <v>2421.181</v>
      </c>
      <c r="BP31" s="49">
        <f t="shared" si="92"/>
        <v>7613.2579999999998</v>
      </c>
      <c r="BQ31" s="30">
        <f>VLOOKUP(BQ$9,[6]COICOP18_2!$C$62:$P$113,12,FALSE)</f>
        <v>2595.9789999999998</v>
      </c>
      <c r="BR31" s="30">
        <f>VLOOKUP(BR$9,[6]COICOP18_2!$C$62:$P$113,12,FALSE)</f>
        <v>1217.491</v>
      </c>
      <c r="BS31" s="30">
        <f>VLOOKUP(BS$9,[6]COICOP18_2!$C$62:$P$113,12,FALSE)</f>
        <v>1530.414</v>
      </c>
      <c r="BT31" s="30">
        <f>VLOOKUP(BT$9,[6]COICOP18_2!$C$62:$P$113,12,FALSE)</f>
        <v>2269.3739999999998</v>
      </c>
      <c r="BU31" s="52"/>
      <c r="BV31" s="52"/>
    </row>
    <row r="32" spans="1:74" s="41" customFormat="1" ht="15" customHeight="1">
      <c r="A32" s="36">
        <v>2015</v>
      </c>
      <c r="B32" s="33">
        <f t="shared" si="79"/>
        <v>113749.90700000002</v>
      </c>
      <c r="C32" s="31">
        <f>ROUND([11]QRE15!$ES$447/1000,3)</f>
        <v>2426.529</v>
      </c>
      <c r="D32" s="31">
        <f>(ROUND([11]QRE15!$ES$446/1000,3))*-1</f>
        <v>10602.282999999999</v>
      </c>
      <c r="E32" s="33">
        <f t="shared" si="78"/>
        <v>121925.66100000002</v>
      </c>
      <c r="F32" s="40">
        <f>ROUND(([6]Apura!$L$15+[6]Apura!$L$16)/1000,3)</f>
        <v>9899.3510000000006</v>
      </c>
      <c r="G32" s="40">
        <f>ROUND(([6]Apura!$L$17+[6]Apura!$L$18)/1000,3)</f>
        <v>112026.31</v>
      </c>
      <c r="H32" s="30">
        <f t="shared" si="80"/>
        <v>20991.279999999999</v>
      </c>
      <c r="I32" s="30">
        <f>VLOOKUP(I$9,[6]COICOP18_2!$C$62:$P$113,14,FALSE)</f>
        <v>19821.633999999998</v>
      </c>
      <c r="J32" s="30">
        <f>VLOOKUP(J$9,[6]COICOP18_2!$C$62:$P$113,14,FALSE)</f>
        <v>1169.646</v>
      </c>
      <c r="K32" s="30">
        <f>VLOOKUP(K$9,[6]COICOP18_2!$C$62:$P$113,14,FALSE)</f>
        <v>0</v>
      </c>
      <c r="L32" s="33">
        <f t="shared" si="81"/>
        <v>3765.15</v>
      </c>
      <c r="M32" s="30">
        <f>VLOOKUP(M$9,[6]COICOP18_2!$C$62:$P$113,14,FALSE)</f>
        <v>1728.7159999999999</v>
      </c>
      <c r="N32" s="30">
        <f>VLOOKUP(N$9,[6]COICOP18_2!$C$62:$P$113,14,FALSE)</f>
        <v>0</v>
      </c>
      <c r="O32" s="30">
        <f>VLOOKUP(O$9,[6]COICOP18_2!$C$62:$P$113,14,FALSE)</f>
        <v>1923.7940000000001</v>
      </c>
      <c r="P32" s="30">
        <f>VLOOKUP(P$9,[6]COICOP18_2!$C$62:$P$113,14,FALSE)</f>
        <v>112.64</v>
      </c>
      <c r="Q32" s="33">
        <f t="shared" si="82"/>
        <v>7920.9809999999998</v>
      </c>
      <c r="R32" s="30">
        <f>VLOOKUP(R$9,[6]COICOP18_2!$C$62:$P$113,14,FALSE)</f>
        <v>5913.99</v>
      </c>
      <c r="S32" s="30">
        <f>VLOOKUP(S$9,[6]COICOP18_2!$C$62:$P$113,14,FALSE)</f>
        <v>2006.991</v>
      </c>
      <c r="T32" s="33">
        <f t="shared" si="83"/>
        <v>23148.456263224034</v>
      </c>
      <c r="U32" s="30">
        <f>VLOOKUP(U$9,[6]COICOP18_2!$C$62:$P$113,14,FALSE)</f>
        <v>4169.4290000000001</v>
      </c>
      <c r="V32" s="30">
        <f>VLOOKUP(V$9,[6]COICOP18_2!$C$62:$P$113,14,FALSE)</f>
        <v>13016.942999999999</v>
      </c>
      <c r="W32" s="30">
        <f>VLOOKUP(W$9,[6]COICOP18_2!$C$62:$P$113,14,FALSE)</f>
        <v>354.1563445602838</v>
      </c>
      <c r="X32" s="30">
        <f>VLOOKUP(X$9,[6]COICOP18_2!$C$62:$P$113,14,FALSE)</f>
        <v>1194.5069186637504</v>
      </c>
      <c r="Y32" s="30">
        <f>VLOOKUP(Y$9,[6]COICOP18_2!$C$62:$P$113,14,FALSE)</f>
        <v>4413.4210000000003</v>
      </c>
      <c r="Z32" s="33">
        <f t="shared" si="84"/>
        <v>5901.6227367759657</v>
      </c>
      <c r="AA32" s="30">
        <f>VLOOKUP(AA$9,[6]COICOP18_2!$C$62:$P$113,14,FALSE)</f>
        <v>1593.027</v>
      </c>
      <c r="AB32" s="30">
        <f>VLOOKUP(AB$9,[6]COICOP18_2!$C$62:$P$113,14,FALSE)</f>
        <v>583.32399999999996</v>
      </c>
      <c r="AC32" s="30">
        <f>VLOOKUP(AC$9,[6]COICOP18_2!$C$62:$P$113,14,FALSE)</f>
        <v>1133.8137625224444</v>
      </c>
      <c r="AD32" s="30">
        <f>VLOOKUP(AD$9,[6]COICOP18_2!$C$62:$P$113,14,FALSE)</f>
        <v>336.27923747755557</v>
      </c>
      <c r="AE32" s="30">
        <f>VLOOKUP(AE$9,[6]COICOP18_2!$C$62:$P$113,14,FALSE)</f>
        <v>106.46173677596585</v>
      </c>
      <c r="AF32" s="30">
        <f>VLOOKUP(AF$9,[6]COICOP18_2!$C$62:$P$113,14,FALSE)</f>
        <v>2148.7170000000001</v>
      </c>
      <c r="AG32" s="33">
        <f t="shared" si="85"/>
        <v>6138.1660000000002</v>
      </c>
      <c r="AH32" s="30">
        <f>VLOOKUP(AH$9,[6]COICOP18_2!$C$62:$P$113,14,FALSE)</f>
        <v>1855.4198116516186</v>
      </c>
      <c r="AI32" s="30">
        <f>VLOOKUP(AI$9,[6]COICOP18_2!$C$62:$P$113,14,FALSE)</f>
        <v>3771.1613383483809</v>
      </c>
      <c r="AJ32" s="30">
        <f>VLOOKUP(AJ$9,[6]COICOP18_2!$C$62:$P$113,14,FALSE)</f>
        <v>316.238</v>
      </c>
      <c r="AK32" s="30">
        <f>VLOOKUP(AK$9,[6]COICOP18_2!$C$62:$P$113,14,FALSE)</f>
        <v>195.34685000000002</v>
      </c>
      <c r="AL32" s="33">
        <f t="shared" si="86"/>
        <v>15298.799000000001</v>
      </c>
      <c r="AM32" s="30">
        <f>VLOOKUP(AM$9,[6]COICOP18_2!$C$62:$P$113,14,FALSE)</f>
        <v>5101.9430000000002</v>
      </c>
      <c r="AN32" s="30">
        <f>VLOOKUP(AN$9,[6]COICOP18_2!$C$62:$P$113,14,FALSE)</f>
        <v>7864.7030000000004</v>
      </c>
      <c r="AO32" s="30">
        <f>VLOOKUP(AO$9,[6]COICOP18_2!$C$62:$P$113,14,FALSE)</f>
        <v>2199.121679757855</v>
      </c>
      <c r="AP32" s="30">
        <f>VLOOKUP(AP$9,[6]COICOP18_2!$C$62:$P$113,14,FALSE)</f>
        <v>133.03132024214506</v>
      </c>
      <c r="AQ32" s="33">
        <f t="shared" si="87"/>
        <v>3798.6926453042192</v>
      </c>
      <c r="AR32" s="30">
        <f>VLOOKUP(AR$9,[6]COICOP18_2!$C$62:$P$113,14,FALSE)</f>
        <v>598.11445000000003</v>
      </c>
      <c r="AS32" s="30">
        <f>VLOOKUP(AS$9,[6]COICOP18_2!$C$62:$P$113,14,FALSE)</f>
        <v>2.4890826845343983</v>
      </c>
      <c r="AT32" s="30">
        <f>VLOOKUP(AT$9,[6]COICOP18_2!$C$62:$P$113,14,FALSE)</f>
        <v>3198.0891126196848</v>
      </c>
      <c r="AU32" s="33">
        <f t="shared" si="88"/>
        <v>6186.9313546957801</v>
      </c>
      <c r="AV32" s="30">
        <f>VLOOKUP(AV$9,[6]COICOP18_2!$C$62:$P$113,14,FALSE)</f>
        <v>446.27352367751166</v>
      </c>
      <c r="AW32" s="30">
        <f>VLOOKUP(AW$9,[6]COICOP18_2!$C$62:$P$113,14,FALSE)</f>
        <v>512.46167396686576</v>
      </c>
      <c r="AX32" s="30">
        <f>VLOOKUP(AX$9,[6]COICOP18_2!$C$62:$P$113,14,FALSE)</f>
        <v>881.80330780312181</v>
      </c>
      <c r="AY32" s="30">
        <f>VLOOKUP(AY$9,[6]COICOP18_2!$C$62:$P$113,14,FALSE)</f>
        <v>1467.0034365254662</v>
      </c>
      <c r="AZ32" s="30">
        <f>VLOOKUP(AZ$9,[6]COICOP18_2!$C$62:$P$113,14,FALSE)</f>
        <v>51.102943637953885</v>
      </c>
      <c r="BA32" s="30">
        <f>VLOOKUP(BA$9,[6]COICOP18_2!$C$62:$P$113,14,FALSE)</f>
        <v>1164.6194690848615</v>
      </c>
      <c r="BB32" s="30">
        <f>VLOOKUP(BB$9,[6]COICOP18_2!$C$62:$P$113,14,FALSE)</f>
        <v>1259.8869999999999</v>
      </c>
      <c r="BC32" s="30">
        <f>VLOOKUP(BC$9,[6]COICOP18_2!$C$62:$P$113,14,FALSE)</f>
        <v>403.78</v>
      </c>
      <c r="BD32" s="33">
        <f t="shared" si="89"/>
        <v>1880.6990000000001</v>
      </c>
      <c r="BE32" s="30">
        <f>VLOOKUP(BE$9,[6]COICOP18_2!$C$62:$P$113,14,FALSE)</f>
        <v>519.64300000000003</v>
      </c>
      <c r="BF32" s="30">
        <f>VLOOKUP(BF$9,[6]COICOP18_2!$C$62:$P$113,14,FALSE)</f>
        <v>173.2</v>
      </c>
      <c r="BG32" s="30">
        <f>VLOOKUP(BG$9,[6]COICOP18_2!$C$62:$P$113,14,FALSE)</f>
        <v>3.9860000000000002</v>
      </c>
      <c r="BH32" s="30">
        <f>VLOOKUP(BH$9,[6]COICOP18_2!$C$62:$P$113,14,FALSE)</f>
        <v>661.65800000000002</v>
      </c>
      <c r="BI32" s="30">
        <f>VLOOKUP(BI$9,[6]COICOP18_2!$C$62:$P$113,14,FALSE)</f>
        <v>522.21199999999999</v>
      </c>
      <c r="BJ32" s="33">
        <f t="shared" si="90"/>
        <v>14186.482</v>
      </c>
      <c r="BK32" s="30">
        <f>VLOOKUP(BK$9,[6]COICOP18_2!$C$62:$P$113,14,FALSE)</f>
        <v>10433.698</v>
      </c>
      <c r="BL32" s="30">
        <f>VLOOKUP(BL$9,[6]COICOP18_2!$C$62:$P$113,14,FALSE)</f>
        <v>3752.7840000000001</v>
      </c>
      <c r="BM32" s="33">
        <f t="shared" si="91"/>
        <v>4798.9709999999995</v>
      </c>
      <c r="BN32" s="30">
        <f>VLOOKUP(BN$9,[6]COICOP18_2!$C$62:$P$113,14,FALSE)</f>
        <v>2177.6039999999998</v>
      </c>
      <c r="BO32" s="30">
        <f>VLOOKUP(BO$9,[6]COICOP18_2!$C$62:$P$113,14,FALSE)</f>
        <v>2621.3670000000002</v>
      </c>
      <c r="BP32" s="49">
        <f t="shared" si="92"/>
        <v>7909.43</v>
      </c>
      <c r="BQ32" s="30">
        <f>VLOOKUP(BQ$9,[6]COICOP18_2!$C$62:$P$113,14,FALSE)</f>
        <v>2629.165</v>
      </c>
      <c r="BR32" s="30">
        <f>VLOOKUP(BR$9,[6]COICOP18_2!$C$62:$P$113,14,FALSE)</f>
        <v>1373.0160000000001</v>
      </c>
      <c r="BS32" s="30">
        <f>VLOOKUP(BS$9,[6]COICOP18_2!$C$62:$P$113,14,FALSE)</f>
        <v>1572.0229999999999</v>
      </c>
      <c r="BT32" s="30">
        <f>VLOOKUP(BT$9,[6]COICOP18_2!$C$62:$P$113,14,FALSE)</f>
        <v>2335.2260000000001</v>
      </c>
      <c r="BU32" s="52"/>
      <c r="BV32" s="52"/>
    </row>
    <row r="33" spans="1:74" s="41" customFormat="1" ht="15" customHeight="1">
      <c r="A33" s="36">
        <v>2016</v>
      </c>
      <c r="B33" s="33">
        <f t="shared" si="79"/>
        <v>117928.66900000001</v>
      </c>
      <c r="C33" s="31">
        <f>ROUND([12]QRE16!$ES$447/1000,3)</f>
        <v>2762.9560000000001</v>
      </c>
      <c r="D33" s="31">
        <f>(ROUND([12]QRE16!$ES$446/1000,3))*-1</f>
        <v>11973.642</v>
      </c>
      <c r="E33" s="33">
        <f t="shared" si="78"/>
        <v>127139.35500000001</v>
      </c>
      <c r="F33" s="51">
        <f>ROUND((+[13]Apuramentos!$F$5+[13]Apuramentos!$F$6)/1000,3)</f>
        <v>10733.069</v>
      </c>
      <c r="G33" s="51">
        <f>ROUND(([13]Apuramentos!$F$7+[13]Apuramentos!$F$8)/1000,3)</f>
        <v>116406.28599999999</v>
      </c>
      <c r="H33" s="30">
        <f t="shared" si="80"/>
        <v>21571.729000000003</v>
      </c>
      <c r="I33" s="30">
        <f>VLOOKUP(I$9,[13]COICOP18_2!$C$62:$P$113,5,FALSE)</f>
        <v>20315.741000000002</v>
      </c>
      <c r="J33" s="30">
        <f>VLOOKUP(J$9,[13]COICOP18_2!$C$62:$P$113,5,FALSE)</f>
        <v>1255.9880000000001</v>
      </c>
      <c r="K33" s="30">
        <f>VLOOKUP(K$9,[13]COICOP18_2!$C$62:$P$113,5,FALSE)</f>
        <v>0</v>
      </c>
      <c r="L33" s="33">
        <f t="shared" ref="L33:L39" si="93">M33+N33+O33+P33</f>
        <v>4048.6229999999996</v>
      </c>
      <c r="M33" s="30">
        <f>VLOOKUP(M$9,[13]COICOP18_2!$C$62:$P$113,5,FALSE)</f>
        <v>1782.4849999999999</v>
      </c>
      <c r="N33" s="30">
        <f>VLOOKUP(N$9,[13]COICOP18_2!$C$62:$P$113,5,FALSE)</f>
        <v>0</v>
      </c>
      <c r="O33" s="30">
        <f>VLOOKUP(O$9,[13]COICOP18_2!$C$62:$P$113,5,FALSE)</f>
        <v>2161.1559999999999</v>
      </c>
      <c r="P33" s="30">
        <f>VLOOKUP(P$9,[13]COICOP18_2!$C$62:$P$113,5,FALSE)</f>
        <v>104.982</v>
      </c>
      <c r="Q33" s="33">
        <f t="shared" ref="Q33:Q39" si="94">R33+S33</f>
        <v>8095.6610000000001</v>
      </c>
      <c r="R33" s="30">
        <f>VLOOKUP(R$9,[13]COICOP18_2!$C$62:$P$113,5,FALSE)</f>
        <v>6134.4170000000004</v>
      </c>
      <c r="S33" s="30">
        <f>VLOOKUP(S$9,[13]COICOP18_2!$C$62:$P$113,5,FALSE)</f>
        <v>1961.2439999999999</v>
      </c>
      <c r="T33" s="33">
        <f t="shared" ref="T33:T39" si="95">U33+V33+W33+X33+Y33</f>
        <v>23685.848000000002</v>
      </c>
      <c r="U33" s="30">
        <f>VLOOKUP(U$9,[13]COICOP18_2!$C$62:$P$113,5,FALSE)</f>
        <v>4429.2439999999997</v>
      </c>
      <c r="V33" s="30">
        <f>VLOOKUP(V$9,[13]COICOP18_2!$C$62:$P$113,5,FALSE)</f>
        <v>13352.721</v>
      </c>
      <c r="W33" s="30">
        <f>VLOOKUP(W$9,[13]COICOP18_2!$C$62:$P$113,5,FALSE)</f>
        <v>362.62700000000001</v>
      </c>
      <c r="X33" s="30">
        <f>VLOOKUP(X$9,[13]COICOP18_2!$C$62:$P$113,5,FALSE)</f>
        <v>1202.9469999999999</v>
      </c>
      <c r="Y33" s="30">
        <f>VLOOKUP(Y$9,[13]COICOP18_2!$C$62:$P$113,5,FALSE)</f>
        <v>4338.3090000000002</v>
      </c>
      <c r="Z33" s="33">
        <f t="shared" ref="Z33:Z39" si="96">AA33+AB33+AC33+AD33+AE33+AF33</f>
        <v>5895.5049999999992</v>
      </c>
      <c r="AA33" s="30">
        <f>VLOOKUP(AA$9,[13]COICOP18_2!$C$62:$P$113,5,FALSE)</f>
        <v>1416.12</v>
      </c>
      <c r="AB33" s="30">
        <f>VLOOKUP(AB$9,[13]COICOP18_2!$C$62:$P$113,5,FALSE)</f>
        <v>439.274</v>
      </c>
      <c r="AC33" s="30">
        <f>VLOOKUP(AC$9,[13]COICOP18_2!$C$62:$P$113,5,FALSE)</f>
        <v>1214.355</v>
      </c>
      <c r="AD33" s="30">
        <f>VLOOKUP(AD$9,[13]COICOP18_2!$C$62:$P$113,5,FALSE)</f>
        <v>252.00399999999999</v>
      </c>
      <c r="AE33" s="30">
        <f>VLOOKUP(AE$9,[13]COICOP18_2!$C$62:$P$113,5,FALSE)</f>
        <v>172.40799999999999</v>
      </c>
      <c r="AF33" s="30">
        <f>VLOOKUP(AF$9,[13]COICOP18_2!$C$62:$P$113,5,FALSE)</f>
        <v>2401.3440000000001</v>
      </c>
      <c r="AG33" s="33">
        <f t="shared" ref="AG33:AG40" si="97">AH33+AI33+AJ33+AK33</f>
        <v>6739.9740000000011</v>
      </c>
      <c r="AH33" s="30">
        <f>VLOOKUP(AH$9,[13]COICOP18_2!$C$62:$P$113,5,FALSE)</f>
        <v>2202.6880000000001</v>
      </c>
      <c r="AI33" s="30">
        <f>VLOOKUP(AI$9,[13]COICOP18_2!$C$62:$P$113,5,FALSE)</f>
        <v>3999.931</v>
      </c>
      <c r="AJ33" s="30">
        <f>VLOOKUP(AJ$9,[13]COICOP18_2!$C$62:$P$113,5,FALSE)</f>
        <v>330.55399999999997</v>
      </c>
      <c r="AK33" s="30">
        <f>VLOOKUP(AK$9,[13]COICOP18_2!$C$62:$P$113,5,FALSE)</f>
        <v>206.80099999999999</v>
      </c>
      <c r="AL33" s="33">
        <f t="shared" ref="AL33:AL39" si="98">AM33+AN33+AO33+AP33</f>
        <v>16365.918</v>
      </c>
      <c r="AM33" s="30">
        <f>VLOOKUP(AM$9,[13]COICOP18_2!$C$62:$P$113,5,FALSE)</f>
        <v>5784.7330000000002</v>
      </c>
      <c r="AN33" s="30">
        <f>VLOOKUP(AN$9,[13]COICOP18_2!$C$62:$P$113,5,FALSE)</f>
        <v>8338.875</v>
      </c>
      <c r="AO33" s="30">
        <f>VLOOKUP(AO$9,[13]COICOP18_2!$C$62:$P$113,5,FALSE)</f>
        <v>2111.6410000000001</v>
      </c>
      <c r="AP33" s="30">
        <f>VLOOKUP(AP$9,[13]COICOP18_2!$C$62:$P$113,5,FALSE)</f>
        <v>130.66900000000001</v>
      </c>
      <c r="AQ33" s="33">
        <f t="shared" ref="AQ33:AQ39" si="99">AR33+AS33+AT33</f>
        <v>3744.395</v>
      </c>
      <c r="AR33" s="30">
        <f>VLOOKUP(AR$9,[13]COICOP18_2!$C$62:$P$113,5,FALSE)</f>
        <v>645.17999999999995</v>
      </c>
      <c r="AS33" s="30">
        <f>VLOOKUP(AS$9,[13]COICOP18_2!$C$62:$P$113,5,FALSE)</f>
        <v>3.0950000000000002</v>
      </c>
      <c r="AT33" s="30">
        <f>VLOOKUP(AT$9,[13]COICOP18_2!$C$62:$P$113,5,FALSE)</f>
        <v>3096.12</v>
      </c>
      <c r="AU33" s="33">
        <f t="shared" ref="AU33:AU39" si="100">AV33+AW33+AX33+AY33+AZ33+BA33+BB33+BC33</f>
        <v>6419.5140000000001</v>
      </c>
      <c r="AV33" s="30">
        <f>VLOOKUP(AV$9,[13]COICOP18_2!$C$62:$P$113,5,FALSE)</f>
        <v>340.25099999999998</v>
      </c>
      <c r="AW33" s="30">
        <f>VLOOKUP(AW$9,[13]COICOP18_2!$C$62:$P$113,5,FALSE)</f>
        <v>729.93700000000001</v>
      </c>
      <c r="AX33" s="30">
        <f>VLOOKUP(AX$9,[13]COICOP18_2!$C$62:$P$113,5,FALSE)</f>
        <v>894.83799999999997</v>
      </c>
      <c r="AY33" s="30">
        <f>VLOOKUP(AY$9,[13]COICOP18_2!$C$62:$P$113,5,FALSE)</f>
        <v>2034.4259999999999</v>
      </c>
      <c r="AZ33" s="30">
        <f>VLOOKUP(AZ$9,[13]COICOP18_2!$C$62:$P$113,5,FALSE)</f>
        <v>101.592</v>
      </c>
      <c r="BA33" s="30">
        <f>VLOOKUP(BA$9,[13]COICOP18_2!$C$62:$P$113,5,FALSE)</f>
        <v>701.79700000000003</v>
      </c>
      <c r="BB33" s="30">
        <f>VLOOKUP(BB$9,[13]COICOP18_2!$C$62:$P$113,5,FALSE)</f>
        <v>1151.7059999999999</v>
      </c>
      <c r="BC33" s="30">
        <f>VLOOKUP(BC$9,[13]COICOP18_2!$C$62:$P$113,5,FALSE)</f>
        <v>464.96699999999998</v>
      </c>
      <c r="BD33" s="33">
        <f t="shared" ref="BD33:BD39" si="101">BE33+BF33+BG33+BH33+BI33</f>
        <v>1943.22</v>
      </c>
      <c r="BE33" s="30">
        <f>VLOOKUP(BE$9,[13]COICOP18_2!$C$62:$P$113,5,FALSE)</f>
        <v>554.096</v>
      </c>
      <c r="BF33" s="30">
        <f>VLOOKUP(BF$9,[13]COICOP18_2!$C$62:$P$113,5,FALSE)</f>
        <v>187.81</v>
      </c>
      <c r="BG33" s="30">
        <f>VLOOKUP(BG$9,[13]COICOP18_2!$C$62:$P$113,5,FALSE)</f>
        <v>5.0949999999999998</v>
      </c>
      <c r="BH33" s="30">
        <f>VLOOKUP(BH$9,[13]COICOP18_2!$C$62:$P$113,5,FALSE)</f>
        <v>723.20899999999995</v>
      </c>
      <c r="BI33" s="30">
        <f>VLOOKUP(BI$9,[13]COICOP18_2!$C$62:$P$113,5,FALSE)</f>
        <v>473.01</v>
      </c>
      <c r="BJ33" s="33">
        <f t="shared" ref="BJ33:BJ39" si="102">BK33+BL33</f>
        <v>15370.038</v>
      </c>
      <c r="BK33" s="30">
        <f>VLOOKUP(BK$9,[13]COICOP18_2!$C$62:$P$113,5,FALSE)</f>
        <v>11082.834999999999</v>
      </c>
      <c r="BL33" s="30">
        <f>VLOOKUP(BL$9,[13]COICOP18_2!$C$62:$P$113,5,FALSE)</f>
        <v>4287.2030000000004</v>
      </c>
      <c r="BM33" s="33">
        <f t="shared" ref="BM33:BM39" si="103">BN33+BO33</f>
        <v>5051.6039999999994</v>
      </c>
      <c r="BN33" s="30">
        <f>VLOOKUP(BN$9,[13]COICOP18_2!$C$62:$P$113,5,FALSE)</f>
        <v>2237.4659999999999</v>
      </c>
      <c r="BO33" s="30">
        <f>VLOOKUP(BO$9,[13]COICOP18_2!$C$62:$P$113,5,FALSE)</f>
        <v>2814.1379999999999</v>
      </c>
      <c r="BP33" s="49">
        <f t="shared" ref="BP33:BP39" si="104">BQ33+BR33+BS33+BT33</f>
        <v>8207.3260000000009</v>
      </c>
      <c r="BQ33" s="30">
        <f>VLOOKUP(BQ$9,[13]COICOP18_2!$C$62:$P$113,5,FALSE)</f>
        <v>2867.5309999999999</v>
      </c>
      <c r="BR33" s="30">
        <f>VLOOKUP(BR$9,[13]COICOP18_2!$C$62:$P$113,5,FALSE)</f>
        <v>1299.395</v>
      </c>
      <c r="BS33" s="30">
        <f>VLOOKUP(BS$9,[13]COICOP18_2!$C$62:$P$113,5,FALSE)</f>
        <v>1820.904</v>
      </c>
      <c r="BT33" s="30">
        <f>VLOOKUP(BT$9,[13]COICOP18_2!$C$62:$P$113,5,FALSE)</f>
        <v>2219.4960000000001</v>
      </c>
      <c r="BU33" s="52"/>
      <c r="BV33" s="52"/>
    </row>
    <row r="34" spans="1:74" s="41" customFormat="1" ht="15" customHeight="1">
      <c r="A34" s="36">
        <v>2017</v>
      </c>
      <c r="B34" s="33">
        <f t="shared" si="79"/>
        <v>122128.45099999994</v>
      </c>
      <c r="C34" s="31">
        <f>ROUND([14]QRE17!$ES$447/1000,3)</f>
        <v>3171.172</v>
      </c>
      <c r="D34" s="31">
        <f>(ROUND([14]QRE17!$ES$446/1000,3))*-1</f>
        <v>14688.775</v>
      </c>
      <c r="E34" s="33">
        <f t="shared" si="78"/>
        <v>133646.05399999995</v>
      </c>
      <c r="F34" s="40">
        <f>ROUND(([13]Apuramentos!$H$5+[13]Apuramentos!$H$6)/1000,3)</f>
        <v>11709.764999999999</v>
      </c>
      <c r="G34" s="40">
        <f>ROUND(([13]Apuramentos!$H$7+[13]Apuramentos!$H$8)/1000,3)</f>
        <v>121936.289</v>
      </c>
      <c r="H34" s="30">
        <f t="shared" ref="H34:H37" si="105">I34+J34+K34</f>
        <v>22425.143</v>
      </c>
      <c r="I34" s="30">
        <f>VLOOKUP(I$9,[13]COICOP18_2!$C$62:$P$113,7,FALSE)</f>
        <v>21068.831999999999</v>
      </c>
      <c r="J34" s="30">
        <f>VLOOKUP(J$9,[13]COICOP18_2!$C$62:$P$113,7,FALSE)</f>
        <v>1356.3109999999999</v>
      </c>
      <c r="K34" s="30">
        <f>VLOOKUP(K$9,[13]COICOP18_2!$C$62:$P$113,7,FALSE)</f>
        <v>0</v>
      </c>
      <c r="L34" s="33">
        <f t="shared" ref="L34:L38" si="106">M34+N34+O34+P34</f>
        <v>4227.3989999999994</v>
      </c>
      <c r="M34" s="30">
        <f>VLOOKUP(M$9,[13]COICOP18_2!$C$62:$P$113,7,FALSE)</f>
        <v>1782.9290000000001</v>
      </c>
      <c r="N34" s="30">
        <f>VLOOKUP(N$9,[13]COICOP18_2!$C$62:$P$113,7,FALSE)</f>
        <v>0</v>
      </c>
      <c r="O34" s="30">
        <f>VLOOKUP(O$9,[13]COICOP18_2!$C$62:$P$113,7,FALSE)</f>
        <v>2338.8380000000002</v>
      </c>
      <c r="P34" s="30">
        <f>VLOOKUP(P$9,[13]COICOP18_2!$C$62:$P$113,7,FALSE)</f>
        <v>105.63200000000001</v>
      </c>
      <c r="Q34" s="33">
        <f t="shared" ref="Q34:Q38" si="107">R34+S34</f>
        <v>8319.3179999999993</v>
      </c>
      <c r="R34" s="30">
        <f>VLOOKUP(R$9,[13]COICOP18_2!$C$62:$P$113,7,FALSE)</f>
        <v>6294.2820000000002</v>
      </c>
      <c r="S34" s="30">
        <f>VLOOKUP(S$9,[13]COICOP18_2!$C$62:$P$113,7,FALSE)</f>
        <v>2025.0360000000001</v>
      </c>
      <c r="T34" s="33">
        <f t="shared" ref="T34:T38" si="108">U34+V34+W34+X34+Y34</f>
        <v>23957.447</v>
      </c>
      <c r="U34" s="30">
        <f>VLOOKUP(U$9,[13]COICOP18_2!$C$62:$P$113,7,FALSE)</f>
        <v>4596.8010000000004</v>
      </c>
      <c r="V34" s="30">
        <f>VLOOKUP(V$9,[13]COICOP18_2!$C$62:$P$113,7,FALSE)</f>
        <v>13588.388000000001</v>
      </c>
      <c r="W34" s="30">
        <f>VLOOKUP(W$9,[13]COICOP18_2!$C$62:$P$113,7,FALSE)</f>
        <v>394.39</v>
      </c>
      <c r="X34" s="30">
        <f>VLOOKUP(X$9,[13]COICOP18_2!$C$62:$P$113,7,FALSE)</f>
        <v>1248.3530000000001</v>
      </c>
      <c r="Y34" s="30">
        <f>VLOOKUP(Y$9,[13]COICOP18_2!$C$62:$P$113,7,FALSE)</f>
        <v>4129.5150000000003</v>
      </c>
      <c r="Z34" s="33">
        <f t="shared" ref="Z34:Z38" si="109">AA34+AB34+AC34+AD34+AE34+AF34</f>
        <v>6117.5450000000001</v>
      </c>
      <c r="AA34" s="30">
        <f>VLOOKUP(AA$9,[13]COICOP18_2!$C$62:$P$113,7,FALSE)</f>
        <v>1446.9780000000001</v>
      </c>
      <c r="AB34" s="30">
        <f>VLOOKUP(AB$9,[13]COICOP18_2!$C$62:$P$113,7,FALSE)</f>
        <v>500.495</v>
      </c>
      <c r="AC34" s="30">
        <f>VLOOKUP(AC$9,[13]COICOP18_2!$C$62:$P$113,7,FALSE)</f>
        <v>1291.3720000000001</v>
      </c>
      <c r="AD34" s="30">
        <f>VLOOKUP(AD$9,[13]COICOP18_2!$C$62:$P$113,7,FALSE)</f>
        <v>303.45699999999999</v>
      </c>
      <c r="AE34" s="30">
        <f>VLOOKUP(AE$9,[13]COICOP18_2!$C$62:$P$113,7,FALSE)</f>
        <v>191.887</v>
      </c>
      <c r="AF34" s="30">
        <f>VLOOKUP(AF$9,[13]COICOP18_2!$C$62:$P$113,7,FALSE)</f>
        <v>2383.3560000000002</v>
      </c>
      <c r="AG34" s="33">
        <f t="shared" ref="AG34:AG38" si="110">AH34+AI34+AJ34+AK34</f>
        <v>7038.3319999999994</v>
      </c>
      <c r="AH34" s="30">
        <f>VLOOKUP(AH$9,[13]COICOP18_2!$C$62:$P$113,7,FALSE)</f>
        <v>2261.6909999999998</v>
      </c>
      <c r="AI34" s="30">
        <f>VLOOKUP(AI$9,[13]COICOP18_2!$C$62:$P$113,7,FALSE)</f>
        <v>4210.7179999999998</v>
      </c>
      <c r="AJ34" s="30">
        <f>VLOOKUP(AJ$9,[13]COICOP18_2!$C$62:$P$113,7,FALSE)</f>
        <v>348.12799999999999</v>
      </c>
      <c r="AK34" s="30">
        <f>VLOOKUP(AK$9,[13]COICOP18_2!$C$62:$P$113,7,FALSE)</f>
        <v>217.79499999999999</v>
      </c>
      <c r="AL34" s="33">
        <f t="shared" ref="AL34:AL38" si="111">AM34+AN34+AO34+AP34</f>
        <v>17895.399000000001</v>
      </c>
      <c r="AM34" s="30">
        <f>VLOOKUP(AM$9,[13]COICOP18_2!$C$62:$P$113,7,FALSE)</f>
        <v>6430.0510000000004</v>
      </c>
      <c r="AN34" s="30">
        <f>VLOOKUP(AN$9,[13]COICOP18_2!$C$62:$P$113,7,FALSE)</f>
        <v>9069.7270000000008</v>
      </c>
      <c r="AO34" s="30">
        <f>VLOOKUP(AO$9,[13]COICOP18_2!$C$62:$P$113,7,FALSE)</f>
        <v>2265.6190000000001</v>
      </c>
      <c r="AP34" s="30">
        <f>VLOOKUP(AP$9,[13]COICOP18_2!$C$62:$P$113,7,FALSE)</f>
        <v>130.00200000000001</v>
      </c>
      <c r="AQ34" s="33">
        <f t="shared" ref="AQ34:AQ38" si="112">AR34+AS34+AT34</f>
        <v>3855.3519999999603</v>
      </c>
      <c r="AR34" s="30">
        <f>VLOOKUP(AR$9,[13]COICOP18_2!$C$62:$P$113,7,FALSE)</f>
        <v>724.81899999999996</v>
      </c>
      <c r="AS34" s="30">
        <f>VLOOKUP(AS$9,[13]COICOP18_2!$C$62:$P$113,7,FALSE)</f>
        <v>3.3239999999999998</v>
      </c>
      <c r="AT34" s="30">
        <f>VLOOKUP(AT$9,[13]COICOP18_2!$C$62:$P$113,7,FALSE)</f>
        <v>3127.2089999999603</v>
      </c>
      <c r="AU34" s="33">
        <f t="shared" ref="AU34:AU38" si="113">AV34+AW34+AX34+AY34+AZ34+BA34+BB34+BC34</f>
        <v>6816.3809999999985</v>
      </c>
      <c r="AV34" s="30">
        <f>VLOOKUP(AV$9,[13]COICOP18_2!$C$62:$P$113,7,FALSE)</f>
        <v>339.69499999999999</v>
      </c>
      <c r="AW34" s="30">
        <f>VLOOKUP(AW$9,[13]COICOP18_2!$C$62:$P$113,7,FALSE)</f>
        <v>770.68600000000004</v>
      </c>
      <c r="AX34" s="30">
        <f>VLOOKUP(AX$9,[13]COICOP18_2!$C$62:$P$113,7,FALSE)</f>
        <v>931.98199999999997</v>
      </c>
      <c r="AY34" s="30">
        <f>VLOOKUP(AY$9,[13]COICOP18_2!$C$62:$P$113,7,FALSE)</f>
        <v>2269.9969999999998</v>
      </c>
      <c r="AZ34" s="30">
        <f>VLOOKUP(AZ$9,[13]COICOP18_2!$C$62:$P$113,7,FALSE)</f>
        <v>103.958</v>
      </c>
      <c r="BA34" s="30">
        <f>VLOOKUP(BA$9,[13]COICOP18_2!$C$62:$P$113,7,FALSE)</f>
        <v>785.04300000000001</v>
      </c>
      <c r="BB34" s="30">
        <f>VLOOKUP(BB$9,[13]COICOP18_2!$C$62:$P$113,7,FALSE)</f>
        <v>1075.258</v>
      </c>
      <c r="BC34" s="30">
        <f>VLOOKUP(BC$9,[13]COICOP18_2!$C$62:$P$113,7,FALSE)</f>
        <v>539.76199999999994</v>
      </c>
      <c r="BD34" s="33">
        <f t="shared" ref="BD34:BD38" si="114">BE34+BF34+BG34+BH34+BI34</f>
        <v>2000.7420000000002</v>
      </c>
      <c r="BE34" s="30">
        <f>VLOOKUP(BE$9,[13]COICOP18_2!$C$62:$P$113,7,FALSE)</f>
        <v>554.16099999999994</v>
      </c>
      <c r="BF34" s="30">
        <f>VLOOKUP(BF$9,[13]COICOP18_2!$C$62:$P$113,7,FALSE)</f>
        <v>188.67500000000001</v>
      </c>
      <c r="BG34" s="30">
        <f>VLOOKUP(BG$9,[13]COICOP18_2!$C$62:$P$113,7,FALSE)</f>
        <v>7.0179999999999998</v>
      </c>
      <c r="BH34" s="30">
        <f>VLOOKUP(BH$9,[13]COICOP18_2!$C$62:$P$113,7,FALSE)</f>
        <v>710.37199999999996</v>
      </c>
      <c r="BI34" s="30">
        <f>VLOOKUP(BI$9,[13]COICOP18_2!$C$62:$P$113,7,FALSE)</f>
        <v>540.51599999999996</v>
      </c>
      <c r="BJ34" s="33">
        <f t="shared" ref="BJ34:BJ38" si="115">BK34+BL34</f>
        <v>17148.406999999999</v>
      </c>
      <c r="BK34" s="30">
        <f>VLOOKUP(BK$9,[13]COICOP18_2!$C$62:$P$113,7,FALSE)</f>
        <v>11977.61</v>
      </c>
      <c r="BL34" s="30">
        <f>VLOOKUP(BL$9,[13]COICOP18_2!$C$62:$P$113,7,FALSE)</f>
        <v>5170.7969999999996</v>
      </c>
      <c r="BM34" s="33">
        <f t="shared" ref="BM34:BM38" si="116">BN34+BO34</f>
        <v>5195.63</v>
      </c>
      <c r="BN34" s="30">
        <f>VLOOKUP(BN$9,[13]COICOP18_2!$C$62:$P$113,7,FALSE)</f>
        <v>2158.8440000000001</v>
      </c>
      <c r="BO34" s="30">
        <f>VLOOKUP(BO$9,[13]COICOP18_2!$C$62:$P$113,7,FALSE)</f>
        <v>3036.7860000000001</v>
      </c>
      <c r="BP34" s="49">
        <f t="shared" ref="BP34:BP38" si="117">BQ34+BR34+BS34+BT34</f>
        <v>8648.9589999999989</v>
      </c>
      <c r="BQ34" s="30">
        <f>VLOOKUP(BQ$9,[13]COICOP18_2!$C$62:$P$113,7,FALSE)</f>
        <v>2962.0459999999998</v>
      </c>
      <c r="BR34" s="30">
        <f>VLOOKUP(BR$9,[13]COICOP18_2!$C$62:$P$113,7,FALSE)</f>
        <v>1460.222</v>
      </c>
      <c r="BS34" s="30">
        <f>VLOOKUP(BS$9,[13]COICOP18_2!$C$62:$P$113,7,FALSE)</f>
        <v>1968.329</v>
      </c>
      <c r="BT34" s="30">
        <f>VLOOKUP(BT$9,[13]COICOP18_2!$C$62:$P$113,7,FALSE)</f>
        <v>2258.3620000000001</v>
      </c>
      <c r="BU34" s="52"/>
      <c r="BV34" s="52"/>
    </row>
    <row r="35" spans="1:74" s="41" customFormat="1" ht="15" customHeight="1">
      <c r="A35" s="36">
        <v>2018</v>
      </c>
      <c r="B35" s="33">
        <f t="shared" ref="B35:B40" si="118">C35-D35+E35</f>
        <v>127391.67600000001</v>
      </c>
      <c r="C35" s="31">
        <f>ROUND([15]QRE18!$ES$447/1000,3)</f>
        <v>3551.7150000000001</v>
      </c>
      <c r="D35" s="31">
        <f>(ROUND([15]QRE18!$ES$446/1000,3))*-1</f>
        <v>16281.924000000001</v>
      </c>
      <c r="E35" s="33">
        <f t="shared" si="78"/>
        <v>140121.88500000001</v>
      </c>
      <c r="F35" s="40">
        <f>ROUND(([13]Apuramentos!$J$5+[13]Apuramentos!$J$6)/1000,3)</f>
        <v>12391.011</v>
      </c>
      <c r="G35" s="40">
        <f>ROUND(([13]Apuramentos!$J$7+[13]Apuramentos!$J$8)/1000,3)</f>
        <v>127730.874</v>
      </c>
      <c r="H35" s="30">
        <f t="shared" si="105"/>
        <v>23077.322</v>
      </c>
      <c r="I35" s="30">
        <f>VLOOKUP(I$9,[13]COICOP18_2!$C$62:$P$113,9,FALSE)</f>
        <v>21678.754000000001</v>
      </c>
      <c r="J35" s="30">
        <f>VLOOKUP(J$9,[13]COICOP18_2!$C$62:$P$113,9,FALSE)</f>
        <v>1398.568</v>
      </c>
      <c r="K35" s="30">
        <f>VLOOKUP(K$9,[13]COICOP18_2!$C$62:$P$113,9,FALSE)</f>
        <v>0</v>
      </c>
      <c r="L35" s="33">
        <f t="shared" si="106"/>
        <v>4490.1589999999997</v>
      </c>
      <c r="M35" s="30">
        <f>VLOOKUP(M$9,[13]COICOP18_2!$C$62:$P$113,9,FALSE)</f>
        <v>1869.4829999999999</v>
      </c>
      <c r="N35" s="30">
        <f>VLOOKUP(N$9,[13]COICOP18_2!$C$62:$P$113,9,FALSE)</f>
        <v>0</v>
      </c>
      <c r="O35" s="30">
        <f>VLOOKUP(O$9,[13]COICOP18_2!$C$62:$P$113,9,FALSE)</f>
        <v>2494.7379999999998</v>
      </c>
      <c r="P35" s="30">
        <f>VLOOKUP(P$9,[13]COICOP18_2!$C$62:$P$113,9,FALSE)</f>
        <v>125.938</v>
      </c>
      <c r="Q35" s="33">
        <f t="shared" si="107"/>
        <v>8474.5220000000008</v>
      </c>
      <c r="R35" s="30">
        <f>VLOOKUP(R$9,[13]COICOP18_2!$C$62:$P$113,9,FALSE)</f>
        <v>6394.1480000000001</v>
      </c>
      <c r="S35" s="30">
        <f>VLOOKUP(S$9,[13]COICOP18_2!$C$62:$P$113,9,FALSE)</f>
        <v>2080.3739999999998</v>
      </c>
      <c r="T35" s="33">
        <f t="shared" si="108"/>
        <v>24664.09</v>
      </c>
      <c r="U35" s="30">
        <f>VLOOKUP(U$9,[13]COICOP18_2!$C$62:$P$113,9,FALSE)</f>
        <v>4850.357</v>
      </c>
      <c r="V35" s="30">
        <f>VLOOKUP(V$9,[13]COICOP18_2!$C$62:$P$113,9,FALSE)</f>
        <v>13955.637000000001</v>
      </c>
      <c r="W35" s="30">
        <f>VLOOKUP(W$9,[13]COICOP18_2!$C$62:$P$113,9,FALSE)</f>
        <v>366.80599999999998</v>
      </c>
      <c r="X35" s="30">
        <f>VLOOKUP(X$9,[13]COICOP18_2!$C$62:$P$113,9,FALSE)</f>
        <v>1264.704</v>
      </c>
      <c r="Y35" s="30">
        <f>VLOOKUP(Y$9,[13]COICOP18_2!$C$62:$P$113,9,FALSE)</f>
        <v>4226.5860000000002</v>
      </c>
      <c r="Z35" s="33">
        <f t="shared" si="109"/>
        <v>6469.0690000000004</v>
      </c>
      <c r="AA35" s="30">
        <f>VLOOKUP(AA$9,[13]COICOP18_2!$C$62:$P$113,9,FALSE)</f>
        <v>1606.327</v>
      </c>
      <c r="AB35" s="30">
        <f>VLOOKUP(AB$9,[13]COICOP18_2!$C$62:$P$113,9,FALSE)</f>
        <v>567.52499999999998</v>
      </c>
      <c r="AC35" s="30">
        <f>VLOOKUP(AC$9,[13]COICOP18_2!$C$62:$P$113,9,FALSE)</f>
        <v>1371.7070000000001</v>
      </c>
      <c r="AD35" s="30">
        <f>VLOOKUP(AD$9,[13]COICOP18_2!$C$62:$P$113,9,FALSE)</f>
        <v>305.03200000000004</v>
      </c>
      <c r="AE35" s="30">
        <f>VLOOKUP(AE$9,[13]COICOP18_2!$C$62:$P$113,9,FALSE)</f>
        <v>205.06399999999999</v>
      </c>
      <c r="AF35" s="30">
        <f>VLOOKUP(AF$9,[13]COICOP18_2!$C$62:$P$113,9,FALSE)</f>
        <v>2413.4140000000002</v>
      </c>
      <c r="AG35" s="33">
        <f t="shared" si="110"/>
        <v>7372.2180000000008</v>
      </c>
      <c r="AH35" s="30">
        <f>VLOOKUP(AH$9,[13]COICOP18_2!$C$62:$P$113,9,FALSE)</f>
        <v>2309.5419999999999</v>
      </c>
      <c r="AI35" s="30">
        <f>VLOOKUP(AI$9,[13]COICOP18_2!$C$62:$P$113,9,FALSE)</f>
        <v>4462.5240000000003</v>
      </c>
      <c r="AJ35" s="30">
        <f>VLOOKUP(AJ$9,[13]COICOP18_2!$C$62:$P$113,9,FALSE)</f>
        <v>369.185</v>
      </c>
      <c r="AK35" s="30">
        <f>VLOOKUP(AK$9,[13]COICOP18_2!$C$62:$P$113,9,FALSE)</f>
        <v>230.96700000000001</v>
      </c>
      <c r="AL35" s="33">
        <f t="shared" si="111"/>
        <v>19029.920999999998</v>
      </c>
      <c r="AM35" s="30">
        <f>VLOOKUP(AM$9,[13]COICOP18_2!$C$62:$P$113,9,FALSE)</f>
        <v>6821.192</v>
      </c>
      <c r="AN35" s="30">
        <f>VLOOKUP(AN$9,[13]COICOP18_2!$C$62:$P$113,9,FALSE)</f>
        <v>9657.3909999999996</v>
      </c>
      <c r="AO35" s="30">
        <f>VLOOKUP(AO$9,[13]COICOP18_2!$C$62:$P$113,9,FALSE)</f>
        <v>2417.0140000000001</v>
      </c>
      <c r="AP35" s="30">
        <f>VLOOKUP(AP$9,[13]COICOP18_2!$C$62:$P$113,9,FALSE)</f>
        <v>134.32400000000001</v>
      </c>
      <c r="AQ35" s="33">
        <f t="shared" si="112"/>
        <v>3789.4200000000105</v>
      </c>
      <c r="AR35" s="30">
        <f>VLOOKUP(AR$9,[13]COICOP18_2!$C$62:$P$113,9,FALSE)</f>
        <v>760.80899999999997</v>
      </c>
      <c r="AS35" s="30">
        <f>VLOOKUP(AS$9,[13]COICOP18_2!$C$62:$P$113,9,FALSE)</f>
        <v>5.407</v>
      </c>
      <c r="AT35" s="30">
        <f>VLOOKUP(AT$9,[13]COICOP18_2!$C$62:$P$113,9,FALSE)</f>
        <v>3023.2040000000106</v>
      </c>
      <c r="AU35" s="33">
        <f t="shared" si="113"/>
        <v>7187.6869999999999</v>
      </c>
      <c r="AV35" s="30">
        <f>VLOOKUP(AV$9,[13]COICOP18_2!$C$62:$P$113,9,FALSE)</f>
        <v>285.93200000000002</v>
      </c>
      <c r="AW35" s="30">
        <f>VLOOKUP(AW$9,[13]COICOP18_2!$C$62:$P$113,9,FALSE)</f>
        <v>848.08</v>
      </c>
      <c r="AX35" s="30">
        <f>VLOOKUP(AX$9,[13]COICOP18_2!$C$62:$P$113,9,FALSE)</f>
        <v>967.18899999999996</v>
      </c>
      <c r="AY35" s="30">
        <f>VLOOKUP(AY$9,[13]COICOP18_2!$C$62:$P$113,9,FALSE)</f>
        <v>2425.808</v>
      </c>
      <c r="AZ35" s="30">
        <f>VLOOKUP(AZ$9,[13]COICOP18_2!$C$62:$P$113,9,FALSE)</f>
        <v>101.809</v>
      </c>
      <c r="BA35" s="30">
        <f>VLOOKUP(BA$9,[13]COICOP18_2!$C$62:$P$113,9,FALSE)</f>
        <v>839.78599999999994</v>
      </c>
      <c r="BB35" s="30">
        <f>VLOOKUP(BB$9,[13]COICOP18_2!$C$62:$P$113,9,FALSE)</f>
        <v>1073.942</v>
      </c>
      <c r="BC35" s="30">
        <f>VLOOKUP(BC$9,[13]COICOP18_2!$C$62:$P$113,9,FALSE)</f>
        <v>645.14099999999996</v>
      </c>
      <c r="BD35" s="33">
        <f t="shared" si="114"/>
        <v>2141.64</v>
      </c>
      <c r="BE35" s="30">
        <f>VLOOKUP(BE$9,[13]COICOP18_2!$C$62:$P$113,9,FALSE)</f>
        <v>568.779</v>
      </c>
      <c r="BF35" s="30">
        <f>VLOOKUP(BF$9,[13]COICOP18_2!$C$62:$P$113,9,FALSE)</f>
        <v>194.953</v>
      </c>
      <c r="BG35" s="30">
        <f>VLOOKUP(BG$9,[13]COICOP18_2!$C$62:$P$113,9,FALSE)</f>
        <v>10.030999999999999</v>
      </c>
      <c r="BH35" s="30">
        <f>VLOOKUP(BH$9,[13]COICOP18_2!$C$62:$P$113,9,FALSE)</f>
        <v>709.36699999999996</v>
      </c>
      <c r="BI35" s="30">
        <f>VLOOKUP(BI$9,[13]COICOP18_2!$C$62:$P$113,9,FALSE)</f>
        <v>658.51</v>
      </c>
      <c r="BJ35" s="33">
        <f t="shared" si="115"/>
        <v>18758.163</v>
      </c>
      <c r="BK35" s="30">
        <f>VLOOKUP(BK$9,[13]COICOP18_2!$C$62:$P$113,9,FALSE)</f>
        <v>12868.388000000001</v>
      </c>
      <c r="BL35" s="30">
        <f>VLOOKUP(BL$9,[13]COICOP18_2!$C$62:$P$113,9,FALSE)</f>
        <v>5889.7749999999996</v>
      </c>
      <c r="BM35" s="33">
        <f t="shared" si="116"/>
        <v>5546.1170000000002</v>
      </c>
      <c r="BN35" s="30">
        <f>VLOOKUP(BN$9,[13]COICOP18_2!$C$62:$P$113,9,FALSE)</f>
        <v>2284.7260000000001</v>
      </c>
      <c r="BO35" s="30">
        <f>VLOOKUP(BO$9,[13]COICOP18_2!$C$62:$P$113,9,FALSE)</f>
        <v>3261.3910000000001</v>
      </c>
      <c r="BP35" s="49">
        <f t="shared" si="117"/>
        <v>9121.5570000000007</v>
      </c>
      <c r="BQ35" s="30">
        <f>VLOOKUP(BQ$9,[13]COICOP18_2!$C$62:$P$113,9,FALSE)</f>
        <v>3073.9290000000001</v>
      </c>
      <c r="BR35" s="30">
        <f>VLOOKUP(BR$9,[13]COICOP18_2!$C$62:$P$113,9,FALSE)</f>
        <v>1592.155</v>
      </c>
      <c r="BS35" s="30">
        <f>VLOOKUP(BS$9,[13]COICOP18_2!$C$62:$P$113,9,FALSE)</f>
        <v>2054.1210000000001</v>
      </c>
      <c r="BT35" s="30">
        <f>VLOOKUP(BT$9,[13]COICOP18_2!$C$62:$P$113,9,FALSE)</f>
        <v>2401.3519999999999</v>
      </c>
      <c r="BU35" s="52"/>
      <c r="BV35" s="52"/>
    </row>
    <row r="36" spans="1:74" s="41" customFormat="1" ht="15" customHeight="1">
      <c r="A36" s="36">
        <v>2019</v>
      </c>
      <c r="B36" s="33">
        <f t="shared" si="118"/>
        <v>133188.07500000001</v>
      </c>
      <c r="C36" s="31">
        <f>ROUND([16]QRE19!$ES$447/1000,3)</f>
        <v>3969.2559999999999</v>
      </c>
      <c r="D36" s="31">
        <f>(ROUND([16]QRE19!$ES$446/1000,3))*-1</f>
        <v>17471.897000000001</v>
      </c>
      <c r="E36" s="33">
        <f t="shared" si="78"/>
        <v>146690.71600000001</v>
      </c>
      <c r="F36" s="40">
        <f>ROUND(([13]Apuramentos!$L$5+[13]Apuramentos!$L$6)/1000,3)</f>
        <v>12723.455</v>
      </c>
      <c r="G36" s="40">
        <f>ROUND(([13]Apuramentos!$L$7+[13]Apuramentos!$L$8)/1000,3)</f>
        <v>133967.261</v>
      </c>
      <c r="H36" s="30">
        <f t="shared" si="105"/>
        <v>23766.86</v>
      </c>
      <c r="I36" s="30">
        <f>VLOOKUP(I$9,[13]COICOP18_2!$C$62:$P$113,11,FALSE)</f>
        <v>22316.280999999999</v>
      </c>
      <c r="J36" s="30">
        <f>VLOOKUP(J$9,[13]COICOP18_2!$C$62:$P$113,11,FALSE)</f>
        <v>1450.579</v>
      </c>
      <c r="K36" s="30">
        <f>VLOOKUP(K$9,[13]COICOP18_2!$C$62:$P$113,11,FALSE)</f>
        <v>0</v>
      </c>
      <c r="L36" s="33">
        <f t="shared" si="106"/>
        <v>4479.8500000000004</v>
      </c>
      <c r="M36" s="30">
        <f>VLOOKUP(M$9,[13]COICOP18_2!$C$62:$P$113,11,FALSE)</f>
        <v>1917.6320000000001</v>
      </c>
      <c r="N36" s="30">
        <f>VLOOKUP(N$9,[13]COICOP18_2!$C$62:$P$113,11,FALSE)</f>
        <v>0</v>
      </c>
      <c r="O36" s="30">
        <f>VLOOKUP(O$9,[13]COICOP18_2!$C$62:$P$113,11,FALSE)</f>
        <v>2455.6729999999998</v>
      </c>
      <c r="P36" s="30">
        <f>VLOOKUP(P$9,[13]COICOP18_2!$C$62:$P$113,11,FALSE)</f>
        <v>106.545</v>
      </c>
      <c r="Q36" s="33">
        <f t="shared" si="107"/>
        <v>8615.6</v>
      </c>
      <c r="R36" s="30">
        <f>VLOOKUP(R$9,[13]COICOP18_2!$C$62:$P$113,11,FALSE)</f>
        <v>6564.2439999999997</v>
      </c>
      <c r="S36" s="30">
        <f>VLOOKUP(S$9,[13]COICOP18_2!$C$62:$P$113,11,FALSE)</f>
        <v>2051.3560000000002</v>
      </c>
      <c r="T36" s="33">
        <f t="shared" si="108"/>
        <v>25498.545999999998</v>
      </c>
      <c r="U36" s="30">
        <f>VLOOKUP(U$9,[13]COICOP18_2!$C$62:$P$113,11,FALSE)</f>
        <v>5152.1580000000004</v>
      </c>
      <c r="V36" s="30">
        <f>VLOOKUP(V$9,[13]COICOP18_2!$C$62:$P$113,11,FALSE)</f>
        <v>14466.013999999999</v>
      </c>
      <c r="W36" s="30">
        <f>VLOOKUP(W$9,[13]COICOP18_2!$C$62:$P$113,11,FALSE)</f>
        <v>332.14400000000001</v>
      </c>
      <c r="X36" s="30">
        <f>VLOOKUP(X$9,[13]COICOP18_2!$C$62:$P$113,11,FALSE)</f>
        <v>1364.0319999999999</v>
      </c>
      <c r="Y36" s="30">
        <f>VLOOKUP(Y$9,[13]COICOP18_2!$C$62:$P$113,11,FALSE)</f>
        <v>4184.1980000000003</v>
      </c>
      <c r="Z36" s="33">
        <f t="shared" si="109"/>
        <v>6712.5740000000005</v>
      </c>
      <c r="AA36" s="30">
        <f>VLOOKUP(AA$9,[13]COICOP18_2!$C$62:$P$113,11,FALSE)</f>
        <v>1699.5550000000001</v>
      </c>
      <c r="AB36" s="30">
        <f>VLOOKUP(AB$9,[13]COICOP18_2!$C$62:$P$113,11,FALSE)</f>
        <v>547.10400000000004</v>
      </c>
      <c r="AC36" s="30">
        <f>VLOOKUP(AC$9,[13]COICOP18_2!$C$62:$P$113,11,FALSE)</f>
        <v>1428.5219999999999</v>
      </c>
      <c r="AD36" s="30">
        <f>VLOOKUP(AD$9,[13]COICOP18_2!$C$62:$P$113,11,FALSE)</f>
        <v>357.90699999999998</v>
      </c>
      <c r="AE36" s="30">
        <f>VLOOKUP(AE$9,[13]COICOP18_2!$C$62:$P$113,11,FALSE)</f>
        <v>209.81200000000001</v>
      </c>
      <c r="AF36" s="30">
        <f>VLOOKUP(AF$9,[13]COICOP18_2!$C$62:$P$113,11,FALSE)</f>
        <v>2469.674</v>
      </c>
      <c r="AG36" s="33">
        <f t="shared" si="110"/>
        <v>8005.4480000000003</v>
      </c>
      <c r="AH36" s="30">
        <f>VLOOKUP(AH$9,[13]COICOP18_2!$C$62:$P$113,11,FALSE)</f>
        <v>2451.0320000000002</v>
      </c>
      <c r="AI36" s="30">
        <f>VLOOKUP(AI$9,[13]COICOP18_2!$C$62:$P$113,11,FALSE)</f>
        <v>4895.6509999999998</v>
      </c>
      <c r="AJ36" s="30">
        <f>VLOOKUP(AJ$9,[13]COICOP18_2!$C$62:$P$113,11,FALSE)</f>
        <v>405.24099999999999</v>
      </c>
      <c r="AK36" s="30">
        <f>VLOOKUP(AK$9,[13]COICOP18_2!$C$62:$P$113,11,FALSE)</f>
        <v>253.524</v>
      </c>
      <c r="AL36" s="33">
        <f t="shared" si="111"/>
        <v>20095.202000000001</v>
      </c>
      <c r="AM36" s="30">
        <f>VLOOKUP(AM$9,[13]COICOP18_2!$C$62:$P$113,11,FALSE)</f>
        <v>6861.5789999999997</v>
      </c>
      <c r="AN36" s="30">
        <f>VLOOKUP(AN$9,[13]COICOP18_2!$C$62:$P$113,11,FALSE)</f>
        <v>10386.35</v>
      </c>
      <c r="AO36" s="30">
        <f>VLOOKUP(AO$9,[13]COICOP18_2!$C$62:$P$113,11,FALSE)</f>
        <v>2726.4839999999999</v>
      </c>
      <c r="AP36" s="30">
        <f>VLOOKUP(AP$9,[13]COICOP18_2!$C$62:$P$113,11,FALSE)</f>
        <v>120.789</v>
      </c>
      <c r="AQ36" s="33">
        <f t="shared" si="112"/>
        <v>4225.7439999999924</v>
      </c>
      <c r="AR36" s="30">
        <f>VLOOKUP(AR$9,[13]COICOP18_2!$C$62:$P$113,11,FALSE)</f>
        <v>808.07399999999996</v>
      </c>
      <c r="AS36" s="30">
        <f>VLOOKUP(AS$9,[13]COICOP18_2!$C$62:$P$113,11,FALSE)</f>
        <v>6.5220000000000002</v>
      </c>
      <c r="AT36" s="30">
        <f>VLOOKUP(AT$9,[13]COICOP18_2!$C$62:$P$113,11,FALSE)</f>
        <v>3411.1479999999924</v>
      </c>
      <c r="AU36" s="33">
        <f t="shared" si="113"/>
        <v>7533.8689999999997</v>
      </c>
      <c r="AV36" s="30">
        <f>VLOOKUP(AV$9,[13]COICOP18_2!$C$62:$P$113,11,FALSE)</f>
        <v>267.65899999999999</v>
      </c>
      <c r="AW36" s="30">
        <f>VLOOKUP(AW$9,[13]COICOP18_2!$C$62:$P$113,11,FALSE)</f>
        <v>857.97</v>
      </c>
      <c r="AX36" s="30">
        <f>VLOOKUP(AX$9,[13]COICOP18_2!$C$62:$P$113,11,FALSE)</f>
        <v>967.726</v>
      </c>
      <c r="AY36" s="30">
        <f>VLOOKUP(AY$9,[13]COICOP18_2!$C$62:$P$113,11,FALSE)</f>
        <v>2668.1779999999999</v>
      </c>
      <c r="AZ36" s="30">
        <f>VLOOKUP(AZ$9,[13]COICOP18_2!$C$62:$P$113,11,FALSE)</f>
        <v>110.871</v>
      </c>
      <c r="BA36" s="30">
        <f>VLOOKUP(BA$9,[13]COICOP18_2!$C$62:$P$113,11,FALSE)</f>
        <v>926.56</v>
      </c>
      <c r="BB36" s="30">
        <f>VLOOKUP(BB$9,[13]COICOP18_2!$C$62:$P$113,11,FALSE)</f>
        <v>1020.789</v>
      </c>
      <c r="BC36" s="30">
        <f>VLOOKUP(BC$9,[13]COICOP18_2!$C$62:$P$113,11,FALSE)</f>
        <v>714.11599999999999</v>
      </c>
      <c r="BD36" s="33">
        <f t="shared" si="114"/>
        <v>2186.239</v>
      </c>
      <c r="BE36" s="30">
        <f>VLOOKUP(BE$9,[13]COICOP18_2!$C$62:$P$113,11,FALSE)</f>
        <v>554.95299999999997</v>
      </c>
      <c r="BF36" s="30">
        <f>VLOOKUP(BF$9,[13]COICOP18_2!$C$62:$P$113,11,FALSE)</f>
        <v>221.63399999999999</v>
      </c>
      <c r="BG36" s="30">
        <f>VLOOKUP(BG$9,[13]COICOP18_2!$C$62:$P$113,11,FALSE)</f>
        <v>14.780000000000001</v>
      </c>
      <c r="BH36" s="30">
        <f>VLOOKUP(BH$9,[13]COICOP18_2!$C$62:$P$113,11,FALSE)</f>
        <v>638.56600000000003</v>
      </c>
      <c r="BI36" s="30">
        <f>VLOOKUP(BI$9,[13]COICOP18_2!$C$62:$P$113,11,FALSE)</f>
        <v>756.30600000000004</v>
      </c>
      <c r="BJ36" s="33">
        <f t="shared" si="115"/>
        <v>20278.719000000001</v>
      </c>
      <c r="BK36" s="30">
        <f>VLOOKUP(BK$9,[13]COICOP18_2!$C$62:$P$113,11,FALSE)</f>
        <v>13879.188</v>
      </c>
      <c r="BL36" s="30">
        <f>VLOOKUP(BL$9,[13]COICOP18_2!$C$62:$P$113,11,FALSE)</f>
        <v>6399.5309999999999</v>
      </c>
      <c r="BM36" s="33">
        <f t="shared" si="116"/>
        <v>5716.5959999999995</v>
      </c>
      <c r="BN36" s="30">
        <f>VLOOKUP(BN$9,[13]COICOP18_2!$C$62:$P$113,11,FALSE)</f>
        <v>2443.21</v>
      </c>
      <c r="BO36" s="30">
        <f>VLOOKUP(BO$9,[13]COICOP18_2!$C$62:$P$113,11,FALSE)</f>
        <v>3273.386</v>
      </c>
      <c r="BP36" s="49">
        <f t="shared" si="117"/>
        <v>9575.4689999999991</v>
      </c>
      <c r="BQ36" s="30">
        <f>VLOOKUP(BQ$9,[13]COICOP18_2!$C$62:$P$113,11,FALSE)</f>
        <v>3272.627</v>
      </c>
      <c r="BR36" s="30">
        <f>VLOOKUP(BR$9,[13]COICOP18_2!$C$62:$P$113,11,FALSE)</f>
        <v>1587.2719999999999</v>
      </c>
      <c r="BS36" s="30">
        <f>VLOOKUP(BS$9,[13]COICOP18_2!$C$62:$P$113,11,FALSE)</f>
        <v>2164.915</v>
      </c>
      <c r="BT36" s="30">
        <f>VLOOKUP(BT$9,[13]COICOP18_2!$C$62:$P$113,11,FALSE)</f>
        <v>2550.6550000000002</v>
      </c>
      <c r="BU36" s="52"/>
      <c r="BV36" s="52"/>
    </row>
    <row r="37" spans="1:74" s="41" customFormat="1" ht="15" customHeight="1">
      <c r="A37" s="36">
        <v>2020</v>
      </c>
      <c r="B37" s="33">
        <f t="shared" si="118"/>
        <v>124708.77600000003</v>
      </c>
      <c r="C37" s="31">
        <f>ROUND([17]QRE20!$ES$447/1000,3)</f>
        <v>2127.5940000000001</v>
      </c>
      <c r="D37" s="31">
        <f>(ROUND([17]QRE20!$ES$446/1000,3))*-1</f>
        <v>7405.0550000000003</v>
      </c>
      <c r="E37" s="33">
        <f t="shared" si="78"/>
        <v>129986.23700000002</v>
      </c>
      <c r="F37" s="40">
        <f>ROUND(([13]Apuramentos!$N$5+[13]Apuramentos!$N$6)/1000,3)</f>
        <v>10895.846</v>
      </c>
      <c r="G37" s="40">
        <f>ROUND(([13]Apuramentos!$N$7+[13]Apuramentos!$N$8)/1000,3)</f>
        <v>119090.391</v>
      </c>
      <c r="H37" s="30">
        <f t="shared" si="105"/>
        <v>24424.999</v>
      </c>
      <c r="I37" s="30">
        <f>VLOOKUP(I$9,[13]COICOP18_2!$C$62:$P$113,13,FALSE)</f>
        <v>23012.938999999998</v>
      </c>
      <c r="J37" s="30">
        <f>VLOOKUP(J$9,[13]COICOP18_2!$C$62:$P$113,13,FALSE)</f>
        <v>1412.06</v>
      </c>
      <c r="K37" s="30">
        <f>VLOOKUP(K$9,[13]COICOP18_2!$C$62:$P$113,13,FALSE)</f>
        <v>0</v>
      </c>
      <c r="L37" s="33">
        <f t="shared" si="106"/>
        <v>4563.3140000000003</v>
      </c>
      <c r="M37" s="30">
        <f>VLOOKUP(M$9,[13]COICOP18_2!$C$62:$P$113,13,FALSE)</f>
        <v>1916.48</v>
      </c>
      <c r="N37" s="30">
        <f>VLOOKUP(N$9,[13]COICOP18_2!$C$62:$P$113,13,FALSE)</f>
        <v>0</v>
      </c>
      <c r="O37" s="30">
        <f>VLOOKUP(O$9,[13]COICOP18_2!$C$62:$P$113,13,FALSE)</f>
        <v>2464.9229999999998</v>
      </c>
      <c r="P37" s="30">
        <f>VLOOKUP(P$9,[13]COICOP18_2!$C$62:$P$113,13,FALSE)</f>
        <v>181.911</v>
      </c>
      <c r="Q37" s="33">
        <f t="shared" si="107"/>
        <v>7418.25</v>
      </c>
      <c r="R37" s="30">
        <f>VLOOKUP(R$9,[13]COICOP18_2!$C$62:$P$113,13,FALSE)</f>
        <v>5687.55</v>
      </c>
      <c r="S37" s="30">
        <f>VLOOKUP(S$9,[13]COICOP18_2!$C$62:$P$113,13,FALSE)</f>
        <v>1730.7</v>
      </c>
      <c r="T37" s="33">
        <f t="shared" si="108"/>
        <v>26270.773999999998</v>
      </c>
      <c r="U37" s="30">
        <f>VLOOKUP(U$9,[13]COICOP18_2!$C$62:$P$113,13,FALSE)</f>
        <v>5431.7049999999999</v>
      </c>
      <c r="V37" s="30">
        <f>VLOOKUP(V$9,[13]COICOP18_2!$C$62:$P$113,13,FALSE)</f>
        <v>14880.079</v>
      </c>
      <c r="W37" s="30">
        <f>VLOOKUP(W$9,[13]COICOP18_2!$C$62:$P$113,13,FALSE)</f>
        <v>278.00099999999998</v>
      </c>
      <c r="X37" s="30">
        <f>VLOOKUP(X$9,[13]COICOP18_2!$C$62:$P$113,13,FALSE)</f>
        <v>1445.3130000000001</v>
      </c>
      <c r="Y37" s="30">
        <f>VLOOKUP(Y$9,[13]COICOP18_2!$C$62:$P$113,13,FALSE)</f>
        <v>4235.6760000000004</v>
      </c>
      <c r="Z37" s="33">
        <f t="shared" si="109"/>
        <v>6911.4130000000005</v>
      </c>
      <c r="AA37" s="30">
        <f>VLOOKUP(AA$9,[13]COICOP18_2!$C$62:$P$113,13,FALSE)</f>
        <v>1737.5419999999999</v>
      </c>
      <c r="AB37" s="30">
        <f>VLOOKUP(AB$9,[13]COICOP18_2!$C$62:$P$113,13,FALSE)</f>
        <v>878.27700000000004</v>
      </c>
      <c r="AC37" s="30">
        <f>VLOOKUP(AC$9,[13]COICOP18_2!$C$62:$P$113,13,FALSE)</f>
        <v>1370.3810000000001</v>
      </c>
      <c r="AD37" s="30">
        <f>VLOOKUP(AD$9,[13]COICOP18_2!$C$62:$P$113,13,FALSE)</f>
        <v>369.06600000000003</v>
      </c>
      <c r="AE37" s="30">
        <f>VLOOKUP(AE$9,[13]COICOP18_2!$C$62:$P$113,13,FALSE)</f>
        <v>192.738</v>
      </c>
      <c r="AF37" s="30">
        <f>VLOOKUP(AF$9,[13]COICOP18_2!$C$62:$P$113,13,FALSE)</f>
        <v>2363.4090000000001</v>
      </c>
      <c r="AG37" s="33">
        <f t="shared" si="110"/>
        <v>7130.3090000000002</v>
      </c>
      <c r="AH37" s="30">
        <f>VLOOKUP(AH$9,[13]COICOP18_2!$C$62:$P$113,13,FALSE)</f>
        <v>2264.44</v>
      </c>
      <c r="AI37" s="30">
        <f>VLOOKUP(AI$9,[13]COICOP18_2!$C$62:$P$113,13,FALSE)</f>
        <v>4289.0870000000004</v>
      </c>
      <c r="AJ37" s="30">
        <f>VLOOKUP(AJ$9,[13]COICOP18_2!$C$62:$P$113,13,FALSE)</f>
        <v>354.86700000000002</v>
      </c>
      <c r="AK37" s="30">
        <f>VLOOKUP(AK$9,[13]COICOP18_2!$C$62:$P$113,13,FALSE)</f>
        <v>221.91499999999999</v>
      </c>
      <c r="AL37" s="33">
        <f t="shared" si="111"/>
        <v>14921.147999999999</v>
      </c>
      <c r="AM37" s="30">
        <f>VLOOKUP(AM$9,[13]COICOP18_2!$C$62:$P$113,13,FALSE)</f>
        <v>5397.4620000000004</v>
      </c>
      <c r="AN37" s="30">
        <f>VLOOKUP(AN$9,[13]COICOP18_2!$C$62:$P$113,13,FALSE)</f>
        <v>8274.1270000000004</v>
      </c>
      <c r="AO37" s="30">
        <f>VLOOKUP(AO$9,[13]COICOP18_2!$C$62:$P$113,13,FALSE)</f>
        <v>1150.453</v>
      </c>
      <c r="AP37" s="30">
        <f>VLOOKUP(AP$9,[13]COICOP18_2!$C$62:$P$113,13,FALSE)</f>
        <v>99.105999999999995</v>
      </c>
      <c r="AQ37" s="33">
        <f t="shared" si="112"/>
        <v>4167.6610000000255</v>
      </c>
      <c r="AR37" s="30">
        <f>VLOOKUP(AR$9,[13]COICOP18_2!$C$62:$P$113,13,FALSE)</f>
        <v>832.99199999999996</v>
      </c>
      <c r="AS37" s="30">
        <f>VLOOKUP(AS$9,[13]COICOP18_2!$C$62:$P$113,13,FALSE)</f>
        <v>8.3569999999999993</v>
      </c>
      <c r="AT37" s="30">
        <f>VLOOKUP(AT$9,[13]COICOP18_2!$C$62:$P$113,13,FALSE)</f>
        <v>3326.3120000000254</v>
      </c>
      <c r="AU37" s="33">
        <f t="shared" si="113"/>
        <v>5778.6329999999998</v>
      </c>
      <c r="AV37" s="30">
        <f>VLOOKUP(AV$9,[13]COICOP18_2!$C$62:$P$113,13,FALSE)</f>
        <v>205.77199999999999</v>
      </c>
      <c r="AW37" s="30">
        <f>VLOOKUP(AW$9,[13]COICOP18_2!$C$62:$P$113,13,FALSE)</f>
        <v>801.11800000000005</v>
      </c>
      <c r="AX37" s="30">
        <f>VLOOKUP(AX$9,[13]COICOP18_2!$C$62:$P$113,13,FALSE)</f>
        <v>893.76099999999997</v>
      </c>
      <c r="AY37" s="30">
        <f>VLOOKUP(AY$9,[13]COICOP18_2!$C$62:$P$113,13,FALSE)</f>
        <v>1967.7260000000001</v>
      </c>
      <c r="AZ37" s="30">
        <f>VLOOKUP(AZ$9,[13]COICOP18_2!$C$62:$P$113,13,FALSE)</f>
        <v>117.49</v>
      </c>
      <c r="BA37" s="30">
        <f>VLOOKUP(BA$9,[13]COICOP18_2!$C$62:$P$113,13,FALSE)</f>
        <v>677.94500000000005</v>
      </c>
      <c r="BB37" s="30">
        <f>VLOOKUP(BB$9,[13]COICOP18_2!$C$62:$P$113,13,FALSE)</f>
        <v>883.70299999999997</v>
      </c>
      <c r="BC37" s="30">
        <f>VLOOKUP(BC$9,[13]COICOP18_2!$C$62:$P$113,13,FALSE)</f>
        <v>231.11799999999999</v>
      </c>
      <c r="BD37" s="33">
        <f t="shared" si="114"/>
        <v>1951.2399999999998</v>
      </c>
      <c r="BE37" s="30">
        <f>VLOOKUP(BE$9,[13]COICOP18_2!$C$62:$P$113,13,FALSE)</f>
        <v>477.68099999999998</v>
      </c>
      <c r="BF37" s="30">
        <f>VLOOKUP(BF$9,[13]COICOP18_2!$C$62:$P$113,13,FALSE)</f>
        <v>235.976</v>
      </c>
      <c r="BG37" s="30">
        <f>VLOOKUP(BG$9,[13]COICOP18_2!$C$62:$P$113,13,FALSE)</f>
        <v>19.021000000000001</v>
      </c>
      <c r="BH37" s="30">
        <f>VLOOKUP(BH$9,[13]COICOP18_2!$C$62:$P$113,13,FALSE)</f>
        <v>485.85199999999998</v>
      </c>
      <c r="BI37" s="30">
        <f>VLOOKUP(BI$9,[13]COICOP18_2!$C$62:$P$113,13,FALSE)</f>
        <v>732.71</v>
      </c>
      <c r="BJ37" s="33">
        <f t="shared" si="115"/>
        <v>12187.037999999999</v>
      </c>
      <c r="BK37" s="30">
        <f>VLOOKUP(BK$9,[13]COICOP18_2!$C$62:$P$113,13,FALSE)</f>
        <v>8795.0759999999991</v>
      </c>
      <c r="BL37" s="30">
        <f>VLOOKUP(BL$9,[13]COICOP18_2!$C$62:$P$113,13,FALSE)</f>
        <v>3391.962</v>
      </c>
      <c r="BM37" s="33">
        <f t="shared" si="116"/>
        <v>5997.0720000000001</v>
      </c>
      <c r="BN37" s="30">
        <f>VLOOKUP(BN$9,[13]COICOP18_2!$C$62:$P$113,13,FALSE)</f>
        <v>2838.3820000000001</v>
      </c>
      <c r="BO37" s="30">
        <f>VLOOKUP(BO$9,[13]COICOP18_2!$C$62:$P$113,13,FALSE)</f>
        <v>3158.69</v>
      </c>
      <c r="BP37" s="49">
        <f t="shared" si="117"/>
        <v>8264.3860000000004</v>
      </c>
      <c r="BQ37" s="30">
        <f>VLOOKUP(BQ$9,[13]COICOP18_2!$C$62:$P$113,13,FALSE)</f>
        <v>2802.58</v>
      </c>
      <c r="BR37" s="30">
        <f>VLOOKUP(BR$9,[13]COICOP18_2!$C$62:$P$113,13,FALSE)</f>
        <v>1118.8430000000001</v>
      </c>
      <c r="BS37" s="30">
        <f>VLOOKUP(BS$9,[13]COICOP18_2!$C$62:$P$113,13,FALSE)</f>
        <v>2193.143</v>
      </c>
      <c r="BT37" s="30">
        <f>VLOOKUP(BT$9,[13]COICOP18_2!$C$62:$P$113,13,FALSE)</f>
        <v>2149.8200000000002</v>
      </c>
      <c r="BU37" s="52"/>
      <c r="BV37" s="52"/>
    </row>
    <row r="38" spans="1:74" s="41" customFormat="1" ht="15" customHeight="1">
      <c r="A38" s="36">
        <v>2021</v>
      </c>
      <c r="B38" s="33">
        <f t="shared" si="118"/>
        <v>133602.644</v>
      </c>
      <c r="C38" s="31">
        <f>ROUND([18]QRE21!$ES$447/1000,3)</f>
        <v>2769.3649999999998</v>
      </c>
      <c r="D38" s="31">
        <f>(ROUND([18]QRE21!$ES$446/1000,3))*-1</f>
        <v>9655.375</v>
      </c>
      <c r="E38" s="33">
        <f t="shared" si="78"/>
        <v>140488.65400000001</v>
      </c>
      <c r="F38" s="40">
        <f>[19]Apuramentos!$H$4/1000+[19]Apuramentos!$H$5/1000</f>
        <v>11779.107</v>
      </c>
      <c r="G38" s="40">
        <f>[19]Apuramentos!$H$6/1000+[19]Apuramentos!$H$7/1000</f>
        <v>128709.54699999999</v>
      </c>
      <c r="H38" s="30">
        <f t="shared" si="80"/>
        <v>25786.971000000001</v>
      </c>
      <c r="I38" s="30">
        <f>VLOOKUP(I$9,[20]Apuramentos!$H$34:$K$86,2,FALSE)</f>
        <v>24355.989000000001</v>
      </c>
      <c r="J38" s="30">
        <f>VLOOKUP(J$9,[20]Apuramentos!$H$34:$K$86,2,FALSE)</f>
        <v>1430.982</v>
      </c>
      <c r="K38" s="30">
        <f>VLOOKUP(K$9,[20]Apuramentos!$H$34:$K$86,2,FALSE)</f>
        <v>0</v>
      </c>
      <c r="L38" s="33">
        <f t="shared" si="106"/>
        <v>4686.4490000000005</v>
      </c>
      <c r="M38" s="30">
        <f>VLOOKUP(M$9,[20]Apuramentos!$H$34:$K$86,2,FALSE)</f>
        <v>1985.3869999999999</v>
      </c>
      <c r="N38" s="30">
        <f>VLOOKUP(N$9,[20]Apuramentos!$H$34:$K$86,2,FALSE)</f>
        <v>0</v>
      </c>
      <c r="O38" s="30">
        <f>VLOOKUP(O$9,[20]Apuramentos!$H$34:$K$86,2,FALSE)</f>
        <v>2501.4270000000001</v>
      </c>
      <c r="P38" s="30">
        <f>VLOOKUP(P$9,[20]Apuramentos!$H$34:$K$86,2,FALSE)</f>
        <v>199.63499999999999</v>
      </c>
      <c r="Q38" s="33">
        <f t="shared" si="107"/>
        <v>7705.6859999999997</v>
      </c>
      <c r="R38" s="30">
        <f>VLOOKUP(R$9,[20]Apuramentos!$H$34:$K$86,2,FALSE)</f>
        <v>5973.2060000000001</v>
      </c>
      <c r="S38" s="30">
        <f>VLOOKUP(S$9,[20]Apuramentos!$H$34:$K$86,2,FALSE)</f>
        <v>1732.48</v>
      </c>
      <c r="T38" s="33">
        <f t="shared" si="108"/>
        <v>26578.993000000002</v>
      </c>
      <c r="U38" s="30">
        <f>VLOOKUP(U$9,[20]Apuramentos!$H$34:$K$86,2,FALSE)</f>
        <v>5632.9830000000002</v>
      </c>
      <c r="V38" s="30">
        <f>VLOOKUP(V$9,[20]Apuramentos!$H$34:$K$86,2,FALSE)</f>
        <v>15126.832</v>
      </c>
      <c r="W38" s="30">
        <f>VLOOKUP(W$9,[20]Apuramentos!$H$34:$K$86,2,FALSE)</f>
        <v>238.96100000000001</v>
      </c>
      <c r="X38" s="30">
        <f>VLOOKUP(X$9,[20]Apuramentos!$H$34:$K$86,2,FALSE)</f>
        <v>1408.4269999999999</v>
      </c>
      <c r="Y38" s="30">
        <f>VLOOKUP(Y$9,[20]Apuramentos!$H$34:$K$86,2,FALSE)</f>
        <v>4171.79</v>
      </c>
      <c r="Z38" s="33">
        <f t="shared" si="109"/>
        <v>7158.206000000001</v>
      </c>
      <c r="AA38" s="30">
        <f>VLOOKUP(AA$9,[20]Apuramentos!$H$34:$K$86,2,FALSE)</f>
        <v>2101.0770000000002</v>
      </c>
      <c r="AB38" s="30">
        <f>VLOOKUP(AB$9,[20]Apuramentos!$H$34:$K$86,2,FALSE)</f>
        <v>673.54700000000003</v>
      </c>
      <c r="AC38" s="30">
        <f>VLOOKUP(AC$9,[20]Apuramentos!$H$34:$K$86,2,FALSE)</f>
        <v>1505.231</v>
      </c>
      <c r="AD38" s="30">
        <f>VLOOKUP(AD$9,[20]Apuramentos!$H$34:$K$86,2,FALSE)</f>
        <v>434.96600000000001</v>
      </c>
      <c r="AE38" s="30">
        <f>VLOOKUP(AE$9,[20]Apuramentos!$H$34:$K$86,2,FALSE)</f>
        <v>175.97800000000001</v>
      </c>
      <c r="AF38" s="30">
        <f>VLOOKUP(AF$9,[20]Apuramentos!$H$34:$K$86,2,FALSE)</f>
        <v>2267.4070000000002</v>
      </c>
      <c r="AG38" s="33">
        <f t="shared" si="110"/>
        <v>8778.6280000000006</v>
      </c>
      <c r="AH38" s="30">
        <f>VLOOKUP(AH$9,[20]Apuramentos!$H$34:$K$86,2,FALSE)</f>
        <v>2529.5300000000002</v>
      </c>
      <c r="AI38" s="30">
        <f>VLOOKUP(AI$9,[20]Apuramentos!$H$34:$K$86,2,FALSE)</f>
        <v>5391.1329999999998</v>
      </c>
      <c r="AJ38" s="30">
        <f>VLOOKUP(AJ$9,[20]Apuramentos!$H$34:$K$86,2,FALSE)</f>
        <v>568.59300000000007</v>
      </c>
      <c r="AK38" s="30">
        <f>VLOOKUP(AK$9,[20]Apuramentos!$H$34:$K$86,2,FALSE)</f>
        <v>289.37200000000001</v>
      </c>
      <c r="AL38" s="33">
        <f t="shared" si="111"/>
        <v>17109.434000000001</v>
      </c>
      <c r="AM38" s="30">
        <f>VLOOKUP(AM$9,[20]Apuramentos!$H$34:$K$86,2,FALSE)</f>
        <v>5580.3040000000001</v>
      </c>
      <c r="AN38" s="30">
        <f>VLOOKUP(AN$9,[20]Apuramentos!$H$34:$K$86,2,FALSE)</f>
        <v>9596.02</v>
      </c>
      <c r="AO38" s="30">
        <f>VLOOKUP(AO$9,[20]Apuramentos!$H$34:$K$86,2,FALSE)</f>
        <v>1758.1510000000001</v>
      </c>
      <c r="AP38" s="30">
        <f>VLOOKUP(AP$9,[20]Apuramentos!$H$34:$K$86,2,FALSE)</f>
        <v>174.959</v>
      </c>
      <c r="AQ38" s="33">
        <f t="shared" si="112"/>
        <v>4315.5029999999997</v>
      </c>
      <c r="AR38" s="30">
        <f>VLOOKUP(AR$9,[20]Apuramentos!$H$34:$K$86,2,FALSE)</f>
        <v>961.21799999999996</v>
      </c>
      <c r="AS38" s="30">
        <f>VLOOKUP(AS$9,[20]Apuramentos!$H$34:$K$86,2,FALSE)</f>
        <v>12.526999999999999</v>
      </c>
      <c r="AT38" s="30">
        <f>VLOOKUP(AT$9,[20]Apuramentos!$H$34:$K$86,2,FALSE)</f>
        <v>3341.7579999999998</v>
      </c>
      <c r="AU38" s="33">
        <f t="shared" si="113"/>
        <v>6250.4329999999991</v>
      </c>
      <c r="AV38" s="30">
        <f>VLOOKUP(AV$9,[20]Apuramentos!$H$34:$K$86,2,FALSE)</f>
        <v>235.60400000000001</v>
      </c>
      <c r="AW38" s="30">
        <f>VLOOKUP(AW$9,[20]Apuramentos!$H$34:$K$86,2,FALSE)</f>
        <v>739.82899999999995</v>
      </c>
      <c r="AX38" s="30">
        <f>VLOOKUP(AX$9,[20]Apuramentos!$H$34:$K$86,2,FALSE)</f>
        <v>870.50599999999997</v>
      </c>
      <c r="AY38" s="30">
        <f>VLOOKUP(AY$9,[20]Apuramentos!$H$34:$K$86,2,FALSE)</f>
        <v>2918.7640000000001</v>
      </c>
      <c r="AZ38" s="30">
        <f>VLOOKUP(AZ$9,[20]Apuramentos!$H$34:$K$86,2,FALSE)</f>
        <v>77.040999999999997</v>
      </c>
      <c r="BA38" s="30">
        <f>VLOOKUP(BA$9,[20]Apuramentos!$H$34:$K$86,2,FALSE)</f>
        <v>201.83799999999999</v>
      </c>
      <c r="BB38" s="30">
        <f>VLOOKUP(BB$9,[20]Apuramentos!$H$34:$K$86,2,FALSE)</f>
        <v>910.755</v>
      </c>
      <c r="BC38" s="30">
        <f>VLOOKUP(BC$9,[20]Apuramentos!$H$34:$K$86,2,FALSE)</f>
        <v>296.096</v>
      </c>
      <c r="BD38" s="33">
        <f t="shared" si="114"/>
        <v>1803.3409999999999</v>
      </c>
      <c r="BE38" s="30">
        <f>VLOOKUP(BE$9,[20]Apuramentos!$H$34:$K$86,2,FALSE)</f>
        <v>468.47199999999998</v>
      </c>
      <c r="BF38" s="30">
        <f>VLOOKUP(BF$9,[20]Apuramentos!$H$34:$K$86,2,FALSE)</f>
        <v>314.13299999999998</v>
      </c>
      <c r="BG38" s="30">
        <f>VLOOKUP(BG$9,[20]Apuramentos!$H$34:$K$86,2,FALSE)</f>
        <v>26.817</v>
      </c>
      <c r="BH38" s="30">
        <f>VLOOKUP(BH$9,[20]Apuramentos!$H$34:$K$86,2,FALSE)</f>
        <v>406.78700000000003</v>
      </c>
      <c r="BI38" s="30">
        <f>VLOOKUP(BI$9,[20]Apuramentos!$H$34:$K$86,2,FALSE)</f>
        <v>587.13199999999995</v>
      </c>
      <c r="BJ38" s="33">
        <f t="shared" si="115"/>
        <v>15336.258000000002</v>
      </c>
      <c r="BK38" s="30">
        <f>VLOOKUP(BK$9,[20]Apuramentos!$H$34:$K$86,2,FALSE)</f>
        <v>10847.681</v>
      </c>
      <c r="BL38" s="30">
        <f>VLOOKUP(BL$9,[20]Apuramentos!$H$34:$K$86,2,FALSE)</f>
        <v>4488.5770000000002</v>
      </c>
      <c r="BM38" s="33">
        <f t="shared" si="116"/>
        <v>6131.9719999999998</v>
      </c>
      <c r="BN38" s="30">
        <f>VLOOKUP(BN$9,[20]Apuramentos!$H$34:$K$86,2,FALSE)</f>
        <v>2975.5859999999998</v>
      </c>
      <c r="BO38" s="30">
        <f>VLOOKUP(BO$9,[20]Apuramentos!$H$34:$K$86,2,FALSE)</f>
        <v>3156.386</v>
      </c>
      <c r="BP38" s="49">
        <f t="shared" si="117"/>
        <v>8846.7799999999988</v>
      </c>
      <c r="BQ38" s="30">
        <f>VLOOKUP(BQ$9,[20]Apuramentos!$H$34:$K$86,2,FALSE)</f>
        <v>2949.77</v>
      </c>
      <c r="BR38" s="30">
        <f>VLOOKUP(BR$9,[20]Apuramentos!$H$34:$K$86,2,FALSE)</f>
        <v>1102.921</v>
      </c>
      <c r="BS38" s="30">
        <f>VLOOKUP(BS$9,[20]Apuramentos!$H$34:$K$86,2,FALSE)</f>
        <v>2341.4749999999999</v>
      </c>
      <c r="BT38" s="30">
        <f>VLOOKUP(BT$9,[20]Apuramentos!$H$34:$K$86,2,FALSE)</f>
        <v>2452.614</v>
      </c>
      <c r="BU38" s="52"/>
      <c r="BV38" s="52"/>
    </row>
    <row r="39" spans="1:74" s="41" customFormat="1" ht="15" customHeight="1">
      <c r="A39" s="36">
        <v>2022</v>
      </c>
      <c r="B39" s="33">
        <f t="shared" si="118"/>
        <v>151317.51199999999</v>
      </c>
      <c r="C39" s="31">
        <f>ROUND([21]QRE22!$ES$447/1000,3)</f>
        <v>4286.8220000000001</v>
      </c>
      <c r="D39" s="31">
        <f>(ROUND([21]QRE22!$ES$446/1000,3))*-1</f>
        <v>20227.812999999998</v>
      </c>
      <c r="E39" s="31">
        <f t="shared" si="78"/>
        <v>167258.503</v>
      </c>
      <c r="F39" s="31">
        <f>[20]Apuramentos!$J$5/1000+[20]Apuramentos!$J$6/1000</f>
        <v>14237.822</v>
      </c>
      <c r="G39" s="31">
        <f>[20]Apuramentos!$J$7/1000+[20]Apuramentos!$J$8/1000</f>
        <v>153020.68100000001</v>
      </c>
      <c r="H39" s="30">
        <f t="shared" si="80"/>
        <v>29818.216</v>
      </c>
      <c r="I39" s="30">
        <f>VLOOKUP(I$9,[20]Apuramentos!$H$34:$K$86,4,FALSE)</f>
        <v>28187.561000000002</v>
      </c>
      <c r="J39" s="30">
        <f>VLOOKUP(J$9,[20]Apuramentos!$H$34:$K$86,4,FALSE)</f>
        <v>1630.655</v>
      </c>
      <c r="K39" s="30">
        <f>VLOOKUP(K$9,[20]Apuramentos!$H$34:$K$86,4,FALSE)</f>
        <v>0</v>
      </c>
      <c r="L39" s="33">
        <f t="shared" si="93"/>
        <v>5031.6929999999993</v>
      </c>
      <c r="M39" s="30">
        <f>VLOOKUP(M$9,[20]Apuramentos!$H$34:$K$86,4,FALSE)</f>
        <v>2220.596</v>
      </c>
      <c r="N39" s="30">
        <f>VLOOKUP(N$9,[20]Apuramentos!$H$34:$K$86,4,FALSE)</f>
        <v>0</v>
      </c>
      <c r="O39" s="30">
        <f>VLOOKUP(O$9,[20]Apuramentos!$H$34:$K$86,4,FALSE)</f>
        <v>2674.3580000000002</v>
      </c>
      <c r="P39" s="30">
        <f>VLOOKUP(P$9,[20]Apuramentos!$H$34:$K$86,4,FALSE)</f>
        <v>136.739</v>
      </c>
      <c r="Q39" s="33">
        <f t="shared" si="94"/>
        <v>8991.0150000000012</v>
      </c>
      <c r="R39" s="30">
        <f>VLOOKUP(R$9,[20]Apuramentos!$H$34:$K$86,4,FALSE)</f>
        <v>6989.5870000000004</v>
      </c>
      <c r="S39" s="30">
        <f>VLOOKUP(S$9,[20]Apuramentos!$H$34:$K$86,4,FALSE)</f>
        <v>2001.4280000000001</v>
      </c>
      <c r="T39" s="33">
        <f t="shared" si="95"/>
        <v>28071.957000000002</v>
      </c>
      <c r="U39" s="30">
        <f>VLOOKUP(U$9,[20]Apuramentos!$H$34:$K$86,4,FALSE)</f>
        <v>5807.0559999999996</v>
      </c>
      <c r="V39" s="30">
        <f>VLOOKUP(V$9,[20]Apuramentos!$H$34:$K$86,4,FALSE)</f>
        <v>15626.021000000001</v>
      </c>
      <c r="W39" s="30">
        <f>VLOOKUP(W$9,[20]Apuramentos!$H$34:$K$86,4,FALSE)</f>
        <v>265.596</v>
      </c>
      <c r="X39" s="30">
        <f>VLOOKUP(X$9,[20]Apuramentos!$H$34:$K$86,4,FALSE)</f>
        <v>1425.127</v>
      </c>
      <c r="Y39" s="30">
        <f>VLOOKUP(Y$9,[20]Apuramentos!$H$34:$K$86,4,FALSE)</f>
        <v>4948.1570000000002</v>
      </c>
      <c r="Z39" s="33">
        <f t="shared" si="96"/>
        <v>8096.5439999999999</v>
      </c>
      <c r="AA39" s="30">
        <f>VLOOKUP(AA$9,[20]Apuramentos!$H$34:$K$86,4,FALSE)</f>
        <v>2496.1570000000002</v>
      </c>
      <c r="AB39" s="30">
        <f>VLOOKUP(AB$9,[20]Apuramentos!$H$34:$K$86,4,FALSE)</f>
        <v>730.07899999999995</v>
      </c>
      <c r="AC39" s="30">
        <f>VLOOKUP(AC$9,[20]Apuramentos!$H$34:$K$86,4,FALSE)</f>
        <v>1544.98</v>
      </c>
      <c r="AD39" s="30">
        <f>VLOOKUP(AD$9,[20]Apuramentos!$H$34:$K$86,4,FALSE)</f>
        <v>501.226</v>
      </c>
      <c r="AE39" s="30">
        <f>VLOOKUP(AE$9,[20]Apuramentos!$H$34:$K$86,4,FALSE)</f>
        <v>197.346</v>
      </c>
      <c r="AF39" s="30">
        <f>VLOOKUP(AF$9,[20]Apuramentos!$H$34:$K$86,4,FALSE)</f>
        <v>2626.7559999999999</v>
      </c>
      <c r="AG39" s="33">
        <f t="shared" si="97"/>
        <v>9448.7389999999996</v>
      </c>
      <c r="AH39" s="30">
        <f>VLOOKUP(AH$9,[20]Apuramentos!$H$34:$K$86,4,FALSE)</f>
        <v>2833.9659999999999</v>
      </c>
      <c r="AI39" s="30">
        <f>VLOOKUP(AI$9,[20]Apuramentos!$H$34:$K$86,4,FALSE)</f>
        <v>5708.0929999999998</v>
      </c>
      <c r="AJ39" s="30">
        <f>VLOOKUP(AJ$9,[20]Apuramentos!$H$34:$K$86,4,FALSE)</f>
        <v>601.20299999999997</v>
      </c>
      <c r="AK39" s="30">
        <f>VLOOKUP(AK$9,[20]Apuramentos!$H$34:$K$86,4,FALSE)</f>
        <v>305.47699999999998</v>
      </c>
      <c r="AL39" s="33">
        <f t="shared" si="98"/>
        <v>21927.200999999997</v>
      </c>
      <c r="AM39" s="30">
        <f>VLOOKUP(AM$9,[20]Apuramentos!$H$34:$K$86,4,FALSE)</f>
        <v>7082.7359999999999</v>
      </c>
      <c r="AN39" s="30">
        <f>VLOOKUP(AN$9,[20]Apuramentos!$H$34:$K$86,4,FALSE)</f>
        <v>11590.617</v>
      </c>
      <c r="AO39" s="30">
        <f>VLOOKUP(AO$9,[20]Apuramentos!$H$34:$K$86,4,FALSE)</f>
        <v>3077.2779999999998</v>
      </c>
      <c r="AP39" s="30">
        <f>VLOOKUP(AP$9,[20]Apuramentos!$H$34:$K$86,4,FALSE)</f>
        <v>176.57</v>
      </c>
      <c r="AQ39" s="33">
        <f t="shared" si="99"/>
        <v>4365.0650000000005</v>
      </c>
      <c r="AR39" s="30">
        <f>VLOOKUP(AR$9,[20]Apuramentos!$H$34:$K$86,4,FALSE)</f>
        <v>1001.523</v>
      </c>
      <c r="AS39" s="30">
        <f>VLOOKUP(AS$9,[20]Apuramentos!$H$34:$K$86,4,FALSE)</f>
        <v>14.678000000000001</v>
      </c>
      <c r="AT39" s="30">
        <f>VLOOKUP(AT$9,[20]Apuramentos!$H$34:$K$86,4,FALSE)</f>
        <v>3348.864</v>
      </c>
      <c r="AU39" s="33">
        <f t="shared" si="100"/>
        <v>7760.1990000000005</v>
      </c>
      <c r="AV39" s="30">
        <f>VLOOKUP(AV$9,[20]Apuramentos!$H$34:$K$86,4,FALSE)</f>
        <v>288.96499999999997</v>
      </c>
      <c r="AW39" s="30">
        <f>VLOOKUP(AW$9,[20]Apuramentos!$H$34:$K$86,4,FALSE)</f>
        <v>836.35500000000002</v>
      </c>
      <c r="AX39" s="30">
        <f>VLOOKUP(AX$9,[20]Apuramentos!$H$34:$K$86,4,FALSE)</f>
        <v>991.67100000000005</v>
      </c>
      <c r="AY39" s="30">
        <f>VLOOKUP(AY$9,[20]Apuramentos!$H$34:$K$86,4,FALSE)</f>
        <v>3554.6010000000001</v>
      </c>
      <c r="AZ39" s="30">
        <f>VLOOKUP(AZ$9,[20]Apuramentos!$H$34:$K$86,4,FALSE)</f>
        <v>98.866</v>
      </c>
      <c r="BA39" s="30">
        <f>VLOOKUP(BA$9,[20]Apuramentos!$H$34:$K$86,4,FALSE)</f>
        <v>424.15</v>
      </c>
      <c r="BB39" s="30">
        <f>VLOOKUP(BB$9,[20]Apuramentos!$H$34:$K$86,4,FALSE)</f>
        <v>969.84</v>
      </c>
      <c r="BC39" s="30">
        <f>VLOOKUP(BC$9,[20]Apuramentos!$H$34:$K$86,4,FALSE)</f>
        <v>595.75099999999998</v>
      </c>
      <c r="BD39" s="33">
        <f t="shared" si="101"/>
        <v>2104.1549999999997</v>
      </c>
      <c r="BE39" s="30">
        <f>VLOOKUP(BE$9,[20]Apuramentos!$H$34:$K$86,4,FALSE)</f>
        <v>531.63</v>
      </c>
      <c r="BF39" s="30">
        <f>VLOOKUP(BF$9,[20]Apuramentos!$H$34:$K$86,4,FALSE)</f>
        <v>362.43799999999999</v>
      </c>
      <c r="BG39" s="30">
        <f>VLOOKUP(BG$9,[20]Apuramentos!$H$34:$K$86,4,FALSE)</f>
        <v>32.305</v>
      </c>
      <c r="BH39" s="30">
        <f>VLOOKUP(BH$9,[20]Apuramentos!$H$34:$K$86,4,FALSE)</f>
        <v>470.78200000000004</v>
      </c>
      <c r="BI39" s="30">
        <f>VLOOKUP(BI$9,[20]Apuramentos!$H$34:$K$86,4,FALSE)</f>
        <v>707</v>
      </c>
      <c r="BJ39" s="33">
        <f t="shared" si="102"/>
        <v>24101.07</v>
      </c>
      <c r="BK39" s="30">
        <f>VLOOKUP(BK$9,[20]Apuramentos!$H$34:$K$86,4,FALSE)</f>
        <v>15800.498</v>
      </c>
      <c r="BL39" s="30">
        <f>VLOOKUP(BL$9,[20]Apuramentos!$H$34:$K$86,4,FALSE)</f>
        <v>8300.5720000000001</v>
      </c>
      <c r="BM39" s="33">
        <f t="shared" si="103"/>
        <v>7019.585</v>
      </c>
      <c r="BN39" s="30">
        <f>VLOOKUP(BN$9,[20]Apuramentos!$H$34:$K$86,4,FALSE)</f>
        <v>3411.913</v>
      </c>
      <c r="BO39" s="30">
        <f>VLOOKUP(BO$9,[20]Apuramentos!$H$34:$K$86,4,FALSE)</f>
        <v>3607.672</v>
      </c>
      <c r="BP39" s="49">
        <f t="shared" si="104"/>
        <v>10523.064</v>
      </c>
      <c r="BQ39" s="30">
        <f>VLOOKUP(BQ$9,[20]Apuramentos!$H$34:$K$86,4,FALSE)</f>
        <v>3477.8989999999999</v>
      </c>
      <c r="BR39" s="30">
        <f>VLOOKUP(BR$9,[20]Apuramentos!$H$34:$K$86,4,FALSE)</f>
        <v>1632.7739999999999</v>
      </c>
      <c r="BS39" s="30">
        <f>VLOOKUP(BS$9,[20]Apuramentos!$H$34:$K$86,4,FALSE)</f>
        <v>2572.9290000000001</v>
      </c>
      <c r="BT39" s="30">
        <f>VLOOKUP(BT$9,[20]Apuramentos!$H$34:$K$86,4,FALSE)</f>
        <v>2839.462</v>
      </c>
      <c r="BU39" s="52"/>
      <c r="BV39" s="52"/>
    </row>
    <row r="40" spans="1:74" s="41" customFormat="1" ht="15" customHeight="1">
      <c r="A40" s="36">
        <v>2023</v>
      </c>
      <c r="B40" s="33">
        <f t="shared" si="118"/>
        <v>162272.32300000003</v>
      </c>
      <c r="C40" s="31">
        <f>ROUND([22]QRE23!$ES$447/1000,3)</f>
        <v>4963.1419999999998</v>
      </c>
      <c r="D40" s="31">
        <f>(ROUND([22]QRE23!$ES$446/1000,3))*-1</f>
        <v>24306.332999999999</v>
      </c>
      <c r="E40" s="31">
        <f t="shared" ref="E40" si="119">+H40+L40+Q40+T40+Z40+AG40+AL40+AQ40+AU40+BD40+BJ40+BM40+BP40</f>
        <v>181615.51400000002</v>
      </c>
      <c r="F40" s="31">
        <f>[23]Apuramentos!$J$5/1000+[23]Apuramentos!$J$6/1000</f>
        <v>11779.107</v>
      </c>
      <c r="G40" s="31">
        <f>[23]Apuramentos!$J$7/1000+[23]Apuramentos!$J$8/1000</f>
        <v>128709.54699999999</v>
      </c>
      <c r="H40" s="30">
        <f t="shared" ref="H40" si="120">I40+J40+K40</f>
        <v>33349.464</v>
      </c>
      <c r="I40" s="30">
        <f>_xlfn.XLOOKUP(I$9,[23]Apuramentos!$D$37:$D$88,[23]Apuramentos!$G$37:$G$88,0)</f>
        <v>31443.882000000001</v>
      </c>
      <c r="J40" s="30">
        <f>_xlfn.XLOOKUP(J$9,[23]Apuramentos!$D$37:$D$88,[23]Apuramentos!$G$37:$G$88,0)</f>
        <v>1905.5820000000001</v>
      </c>
      <c r="K40" s="30">
        <f>_xlfn.XLOOKUP(K$9,[23]Apuramentos!$D$37:$D$88,[23]Apuramentos!$G$37:$G$88,0)</f>
        <v>0</v>
      </c>
      <c r="L40" s="33">
        <f t="shared" ref="L40" si="121">M40+N40+O40+P40</f>
        <v>5303.1950000000006</v>
      </c>
      <c r="M40" s="30">
        <f>_xlfn.XLOOKUP(M$9,[23]Apuramentos!$D$37:$D$88,[23]Apuramentos!$G$37:$G$88,0)</f>
        <v>2407.8910000000001</v>
      </c>
      <c r="N40" s="30">
        <f>_xlfn.XLOOKUP(N$9,[23]Apuramentos!$D$37:$D$88,[23]Apuramentos!$G$37:$G$88,0)</f>
        <v>0</v>
      </c>
      <c r="O40" s="30">
        <f>_xlfn.XLOOKUP(O$9,[23]Apuramentos!$D$37:$D$88,[23]Apuramentos!$G$37:$G$88,0)</f>
        <v>2804.0120000000002</v>
      </c>
      <c r="P40" s="30">
        <f>_xlfn.XLOOKUP(P$9,[23]Apuramentos!$D$37:$D$88,[23]Apuramentos!$G$37:$G$88,0)</f>
        <v>91.292000000000002</v>
      </c>
      <c r="Q40" s="33">
        <f t="shared" ref="Q40" si="122">R40+S40</f>
        <v>9524.8420000000006</v>
      </c>
      <c r="R40" s="30">
        <f>_xlfn.XLOOKUP(R$9,[23]Apuramentos!$D$37:$D$88,[23]Apuramentos!$G$37:$G$88,0)</f>
        <v>7550.0280000000002</v>
      </c>
      <c r="S40" s="30">
        <f>_xlfn.XLOOKUP(S$9,[23]Apuramentos!$D$37:$D$88,[23]Apuramentos!$G$37:$G$88,0)</f>
        <v>1974.8140000000001</v>
      </c>
      <c r="T40" s="33">
        <f t="shared" ref="T40" si="123">U40+V40+W40+X40+Y40</f>
        <v>28807.685999999998</v>
      </c>
      <c r="U40" s="30">
        <f>_xlfn.XLOOKUP(U$9,[23]Apuramentos!$D$37:$D$88,[23]Apuramentos!$G$37:$G$88,0)</f>
        <v>6094.66</v>
      </c>
      <c r="V40" s="30">
        <f>_xlfn.XLOOKUP(V$9,[23]Apuramentos!$D$37:$D$88,[23]Apuramentos!$G$37:$G$88,0)</f>
        <v>16446.738000000001</v>
      </c>
      <c r="W40" s="30">
        <f>_xlfn.XLOOKUP(W$9,[23]Apuramentos!$D$37:$D$88,[23]Apuramentos!$G$37:$G$88,0)</f>
        <v>257.43900000000002</v>
      </c>
      <c r="X40" s="30">
        <f>_xlfn.XLOOKUP(X$9,[23]Apuramentos!$D$37:$D$88,[23]Apuramentos!$G$37:$G$88,0)</f>
        <v>1523.0830000000001</v>
      </c>
      <c r="Y40" s="30">
        <f>_xlfn.XLOOKUP(Y$9,[23]Apuramentos!$D$37:$D$88,[23]Apuramentos!$G$37:$G$88,0)</f>
        <v>4485.7659999999996</v>
      </c>
      <c r="Z40" s="33">
        <f t="shared" ref="Z40" si="124">AA40+AB40+AC40+AD40+AE40+AF40</f>
        <v>8459.4749999999985</v>
      </c>
      <c r="AA40" s="30">
        <f>_xlfn.XLOOKUP(AA$9,[23]Apuramentos!$D$37:$D$88,[23]Apuramentos!$G$37:$G$88,0)</f>
        <v>2571.8319999999999</v>
      </c>
      <c r="AB40" s="30">
        <f>_xlfn.XLOOKUP(AB$9,[23]Apuramentos!$D$37:$D$88,[23]Apuramentos!$G$37:$G$88,0)</f>
        <v>754.73699999999997</v>
      </c>
      <c r="AC40" s="30">
        <f>_xlfn.XLOOKUP(AC$9,[23]Apuramentos!$D$37:$D$88,[23]Apuramentos!$G$37:$G$88,0)</f>
        <v>1551.1020000000001</v>
      </c>
      <c r="AD40" s="30">
        <f>_xlfn.XLOOKUP(AD$9,[23]Apuramentos!$D$37:$D$88,[23]Apuramentos!$G$37:$G$88,0)</f>
        <v>546.64099999999996</v>
      </c>
      <c r="AE40" s="30">
        <f>_xlfn.XLOOKUP(AE$9,[23]Apuramentos!$D$37:$D$88,[23]Apuramentos!$G$37:$G$88,0)</f>
        <v>200.14099999999999</v>
      </c>
      <c r="AF40" s="30">
        <f>_xlfn.XLOOKUP(AF$9,[23]Apuramentos!$D$37:$D$88,[23]Apuramentos!$G$37:$G$88,0)</f>
        <v>2835.0219999999999</v>
      </c>
      <c r="AG40" s="33">
        <f t="shared" si="97"/>
        <v>9901.6660000000011</v>
      </c>
      <c r="AH40" s="30">
        <f>_xlfn.XLOOKUP(AH$9,[23]Apuramentos!$D$37:$D$88,[23]Apuramentos!$G$37:$G$88,0)</f>
        <v>2835.5839999999998</v>
      </c>
      <c r="AI40" s="30">
        <f>_xlfn.XLOOKUP(AI$9,[23]Apuramentos!$D$37:$D$88,[23]Apuramentos!$G$37:$G$88,0)</f>
        <v>6044.9719999999998</v>
      </c>
      <c r="AJ40" s="30">
        <f>_xlfn.XLOOKUP(AJ$9,[23]Apuramentos!$D$37:$D$88,[23]Apuramentos!$G$37:$G$88,0)</f>
        <v>675.86</v>
      </c>
      <c r="AK40" s="30">
        <f>_xlfn.XLOOKUP(AK$9,[23]Apuramentos!$D$37:$D$88,[23]Apuramentos!$G$37:$G$88,0)</f>
        <v>345.25</v>
      </c>
      <c r="AL40" s="33">
        <f t="shared" ref="AL40" si="125">AM40+AN40+AO40+AP40</f>
        <v>24280.873000000003</v>
      </c>
      <c r="AM40" s="30">
        <f>_xlfn.XLOOKUP(AM$9,[23]Apuramentos!$D$37:$D$88,[23]Apuramentos!$G$37:$G$88,0)</f>
        <v>8329.3310000000001</v>
      </c>
      <c r="AN40" s="30">
        <f>_xlfn.XLOOKUP(AN$9,[23]Apuramentos!$D$37:$D$88,[23]Apuramentos!$G$37:$G$88,0)</f>
        <v>11945.486000000001</v>
      </c>
      <c r="AO40" s="30">
        <f>_xlfn.XLOOKUP(AO$9,[23]Apuramentos!$D$37:$D$88,[23]Apuramentos!$G$37:$G$88,0)</f>
        <v>3823.6370000000002</v>
      </c>
      <c r="AP40" s="30">
        <f>_xlfn.XLOOKUP(AP$9,[23]Apuramentos!$D$37:$D$88,[23]Apuramentos!$G$37:$G$88,0)</f>
        <v>182.41900000000001</v>
      </c>
      <c r="AQ40" s="33">
        <f t="shared" ref="AQ40" si="126">AR40+AS40+AT40</f>
        <v>4533.3779999999997</v>
      </c>
      <c r="AR40" s="30">
        <f>_xlfn.XLOOKUP(AR$9,[23]Apuramentos!$D$37:$D$88,[23]Apuramentos!$G$37:$G$88,0)</f>
        <v>988.56600000000003</v>
      </c>
      <c r="AS40" s="30">
        <f>_xlfn.XLOOKUP(AS$9,[23]Apuramentos!$D$37:$D$88,[23]Apuramentos!$G$37:$G$88,0)</f>
        <v>16.638999999999999</v>
      </c>
      <c r="AT40" s="30">
        <f>_xlfn.XLOOKUP(AT$9,[23]Apuramentos!$D$37:$D$88,[23]Apuramentos!$G$37:$G$88,0)</f>
        <v>3528.1729999999998</v>
      </c>
      <c r="AU40" s="33">
        <f t="shared" ref="AU40" si="127">AV40+AW40+AX40+AY40+AZ40+BA40+BB40+BC40</f>
        <v>8754.4139999999989</v>
      </c>
      <c r="AV40" s="30">
        <f>_xlfn.XLOOKUP(AV$9,[23]Apuramentos!$D$37:$D$88,[23]Apuramentos!$G$37:$G$88,0)</f>
        <v>303.464</v>
      </c>
      <c r="AW40" s="30">
        <f>_xlfn.XLOOKUP(AW$9,[23]Apuramentos!$D$37:$D$88,[23]Apuramentos!$G$37:$G$88,0)</f>
        <v>819.60599999999999</v>
      </c>
      <c r="AX40" s="30">
        <f>_xlfn.XLOOKUP(AX$9,[23]Apuramentos!$D$37:$D$88,[23]Apuramentos!$G$37:$G$88,0)</f>
        <v>1153.2170000000001</v>
      </c>
      <c r="AY40" s="30">
        <f>_xlfn.XLOOKUP(AY$9,[23]Apuramentos!$D$37:$D$88,[23]Apuramentos!$G$37:$G$88,0)</f>
        <v>4167.5420000000004</v>
      </c>
      <c r="AZ40" s="30">
        <f>_xlfn.XLOOKUP(AZ$9,[23]Apuramentos!$D$37:$D$88,[23]Apuramentos!$G$37:$G$88,0)</f>
        <v>101.114</v>
      </c>
      <c r="BA40" s="30">
        <f>_xlfn.XLOOKUP(BA$9,[23]Apuramentos!$D$37:$D$88,[23]Apuramentos!$G$37:$G$88,0)</f>
        <v>492.53</v>
      </c>
      <c r="BB40" s="30">
        <f>_xlfn.XLOOKUP(BB$9,[23]Apuramentos!$D$37:$D$88,[23]Apuramentos!$G$37:$G$88,0)</f>
        <v>1002.833</v>
      </c>
      <c r="BC40" s="30">
        <f>_xlfn.XLOOKUP(BC$9,[23]Apuramentos!$D$37:$D$88,[23]Apuramentos!$G$37:$G$88,0)</f>
        <v>714.10799999999995</v>
      </c>
      <c r="BD40" s="33">
        <f t="shared" ref="BD40" si="128">BE40+BF40+BG40+BH40+BI40</f>
        <v>2370.0820000000003</v>
      </c>
      <c r="BE40" s="30">
        <f>_xlfn.XLOOKUP(BE$9,[23]Apuramentos!$D$37:$D$88,[23]Apuramentos!$G$37:$G$88,0)</f>
        <v>631.56600000000003</v>
      </c>
      <c r="BF40" s="30">
        <f>_xlfn.XLOOKUP(BF$9,[23]Apuramentos!$D$37:$D$88,[23]Apuramentos!$G$37:$G$88,0)</f>
        <v>347.11599999999999</v>
      </c>
      <c r="BG40" s="30">
        <f>_xlfn.XLOOKUP(BG$9,[23]Apuramentos!$D$37:$D$88,[23]Apuramentos!$G$37:$G$88,0)</f>
        <v>35.886000000000003</v>
      </c>
      <c r="BH40" s="30">
        <f>_xlfn.XLOOKUP(BH$9,[23]Apuramentos!$D$37:$D$88,[23]Apuramentos!$G$37:$G$88,0)</f>
        <v>571.13800000000003</v>
      </c>
      <c r="BI40" s="30">
        <f>_xlfn.XLOOKUP(BI$9,[23]Apuramentos!$D$37:$D$88,[23]Apuramentos!$G$37:$G$88,0)</f>
        <v>784.37599999999998</v>
      </c>
      <c r="BJ40" s="33">
        <f t="shared" ref="BJ40" si="129">BK40+BL40</f>
        <v>27360.897000000001</v>
      </c>
      <c r="BK40" s="30">
        <f>_xlfn.XLOOKUP(BK$9,[23]Apuramentos!$D$37:$D$88,[23]Apuramentos!$G$37:$G$88,0)</f>
        <v>17633.685000000001</v>
      </c>
      <c r="BL40" s="30">
        <f>_xlfn.XLOOKUP(BL$9,[23]Apuramentos!$D$37:$D$88,[23]Apuramentos!$G$37:$G$88,0)</f>
        <v>9727.2119999999995</v>
      </c>
      <c r="BM40" s="33">
        <f t="shared" ref="BM40" si="130">BN40+BO40</f>
        <v>7615.3310000000001</v>
      </c>
      <c r="BN40" s="30">
        <f>_xlfn.XLOOKUP(BN$9,[23]Apuramentos!$D$37:$D$88,[23]Apuramentos!$G$37:$G$88,0)</f>
        <v>3526.34</v>
      </c>
      <c r="BO40" s="30">
        <f>_xlfn.XLOOKUP(BO$9,[23]Apuramentos!$D$37:$D$88,[23]Apuramentos!$G$37:$G$88,0)</f>
        <v>4088.991</v>
      </c>
      <c r="BP40" s="49">
        <f t="shared" ref="BP40" si="131">BQ40+BR40+BS40+BT40</f>
        <v>11354.210999999999</v>
      </c>
      <c r="BQ40" s="30">
        <f>_xlfn.XLOOKUP(BQ$9,[23]Apuramentos!$D$37:$D$88,[23]Apuramentos!$G$37:$G$88,0)</f>
        <v>3771.8919999999998</v>
      </c>
      <c r="BR40" s="30">
        <f>_xlfn.XLOOKUP(BR$9,[23]Apuramentos!$D$37:$D$88,[23]Apuramentos!$G$37:$G$88,0)</f>
        <v>1900.6790000000001</v>
      </c>
      <c r="BS40" s="30">
        <f>_xlfn.XLOOKUP(BS$9,[23]Apuramentos!$D$37:$D$88,[23]Apuramentos!$G$37:$G$88,0)</f>
        <v>2615.0740000000001</v>
      </c>
      <c r="BT40" s="30">
        <f>_xlfn.XLOOKUP(BT$9,[23]Apuramentos!$D$37:$D$88,[23]Apuramentos!$G$37:$G$88,0)</f>
        <v>3066.5659999999998</v>
      </c>
      <c r="BU40" s="49"/>
    </row>
    <row r="41" spans="1:74" s="41" customFormat="1" ht="15" customHeight="1">
      <c r="A41" s="50" t="s">
        <v>247</v>
      </c>
      <c r="B41" s="53">
        <f>[24]Portal_COICOP!B$35</f>
        <v>171640.55630231171</v>
      </c>
      <c r="C41" s="31">
        <f>[24]Portal_COICOP!C$35</f>
        <v>5323.8729999999996</v>
      </c>
      <c r="D41" s="31">
        <f>[24]Portal_COICOP!D$35</f>
        <v>26479.18269768828</v>
      </c>
      <c r="E41" s="31">
        <f>[24]Portal_COICOP!E$35</f>
        <v>192795.86600000001</v>
      </c>
      <c r="F41" s="31">
        <f>[24]Portal_COICOP!F$35</f>
        <v>15795.601000000001</v>
      </c>
      <c r="G41" s="31">
        <f>[24]Portal_COICOP!G$35</f>
        <v>177000.26500000001</v>
      </c>
      <c r="H41" s="30" t="s">
        <v>159</v>
      </c>
      <c r="I41" s="30" t="s">
        <v>159</v>
      </c>
      <c r="J41" s="33" t="s">
        <v>159</v>
      </c>
      <c r="K41" s="30" t="s">
        <v>159</v>
      </c>
      <c r="L41" s="33" t="s">
        <v>159</v>
      </c>
      <c r="M41" s="30" t="s">
        <v>159</v>
      </c>
      <c r="N41" s="30" t="s">
        <v>159</v>
      </c>
      <c r="O41" s="33" t="s">
        <v>159</v>
      </c>
      <c r="P41" s="30" t="s">
        <v>159</v>
      </c>
      <c r="Q41" s="33" t="s">
        <v>159</v>
      </c>
      <c r="R41" s="30" t="s">
        <v>159</v>
      </c>
      <c r="S41" s="30" t="s">
        <v>159</v>
      </c>
      <c r="T41" s="33" t="s">
        <v>159</v>
      </c>
      <c r="U41" s="30" t="s">
        <v>159</v>
      </c>
      <c r="V41" s="30" t="s">
        <v>159</v>
      </c>
      <c r="W41" s="30" t="s">
        <v>159</v>
      </c>
      <c r="X41" s="30" t="s">
        <v>159</v>
      </c>
      <c r="Y41" s="30" t="s">
        <v>159</v>
      </c>
      <c r="Z41" s="33" t="s">
        <v>159</v>
      </c>
      <c r="AA41" s="30" t="s">
        <v>159</v>
      </c>
      <c r="AB41" s="30" t="s">
        <v>159</v>
      </c>
      <c r="AC41" s="30" t="s">
        <v>159</v>
      </c>
      <c r="AD41" s="30" t="s">
        <v>159</v>
      </c>
      <c r="AE41" s="30" t="s">
        <v>159</v>
      </c>
      <c r="AF41" s="30" t="s">
        <v>159</v>
      </c>
      <c r="AG41" s="33" t="s">
        <v>159</v>
      </c>
      <c r="AH41" s="30" t="s">
        <v>159</v>
      </c>
      <c r="AI41" s="30" t="s">
        <v>159</v>
      </c>
      <c r="AJ41" s="30" t="s">
        <v>159</v>
      </c>
      <c r="AK41" s="30" t="s">
        <v>159</v>
      </c>
      <c r="AL41" s="30" t="s">
        <v>159</v>
      </c>
      <c r="AM41" s="30" t="s">
        <v>159</v>
      </c>
      <c r="AN41" s="30" t="s">
        <v>159</v>
      </c>
      <c r="AO41" s="30" t="s">
        <v>159</v>
      </c>
      <c r="AP41" s="30" t="s">
        <v>159</v>
      </c>
      <c r="AQ41" s="30" t="s">
        <v>159</v>
      </c>
      <c r="AR41" s="30" t="s">
        <v>159</v>
      </c>
      <c r="AS41" s="30" t="s">
        <v>159</v>
      </c>
      <c r="AT41" s="30" t="s">
        <v>159</v>
      </c>
      <c r="AU41" s="30" t="s">
        <v>159</v>
      </c>
      <c r="AV41" s="30" t="s">
        <v>159</v>
      </c>
      <c r="AW41" s="30" t="s">
        <v>159</v>
      </c>
      <c r="AX41" s="30" t="s">
        <v>159</v>
      </c>
      <c r="AY41" s="30" t="s">
        <v>159</v>
      </c>
      <c r="AZ41" s="30" t="s">
        <v>159</v>
      </c>
      <c r="BA41" s="30" t="s">
        <v>159</v>
      </c>
      <c r="BB41" s="30" t="s">
        <v>159</v>
      </c>
      <c r="BC41" s="30" t="s">
        <v>159</v>
      </c>
      <c r="BD41" s="30" t="s">
        <v>159</v>
      </c>
      <c r="BE41" s="30" t="s">
        <v>159</v>
      </c>
      <c r="BF41" s="30" t="s">
        <v>159</v>
      </c>
      <c r="BG41" s="30" t="s">
        <v>159</v>
      </c>
      <c r="BH41" s="30" t="s">
        <v>159</v>
      </c>
      <c r="BI41" s="30" t="s">
        <v>159</v>
      </c>
      <c r="BJ41" s="30" t="s">
        <v>159</v>
      </c>
      <c r="BK41" s="30" t="s">
        <v>159</v>
      </c>
      <c r="BL41" s="30" t="s">
        <v>159</v>
      </c>
      <c r="BM41" s="30" t="s">
        <v>159</v>
      </c>
      <c r="BN41" s="30" t="s">
        <v>159</v>
      </c>
      <c r="BO41" s="30" t="s">
        <v>159</v>
      </c>
      <c r="BP41" s="30" t="s">
        <v>159</v>
      </c>
      <c r="BQ41" s="30" t="s">
        <v>159</v>
      </c>
      <c r="BR41" s="30" t="s">
        <v>159</v>
      </c>
      <c r="BS41" s="30" t="s">
        <v>159</v>
      </c>
      <c r="BT41" s="30" t="s">
        <v>159</v>
      </c>
    </row>
    <row r="42" spans="1:74" s="41" customFormat="1" ht="15" customHeight="1">
      <c r="A42" s="36"/>
      <c r="B42" s="33"/>
      <c r="C42" s="31"/>
      <c r="D42" s="31"/>
      <c r="E42" s="33"/>
      <c r="F42" s="40"/>
      <c r="G42" s="40"/>
      <c r="H42" s="30"/>
      <c r="I42" s="30"/>
      <c r="J42" s="30"/>
      <c r="K42" s="30"/>
      <c r="L42" s="33"/>
      <c r="M42" s="30"/>
      <c r="N42" s="30"/>
      <c r="O42" s="30"/>
      <c r="P42" s="30"/>
      <c r="Q42" s="33"/>
      <c r="R42" s="30"/>
      <c r="S42" s="30"/>
      <c r="T42" s="33"/>
      <c r="U42" s="30"/>
      <c r="V42" s="30"/>
      <c r="W42" s="30"/>
      <c r="X42" s="30"/>
      <c r="Y42" s="30"/>
      <c r="Z42" s="33"/>
      <c r="AA42" s="30"/>
      <c r="AB42" s="30"/>
      <c r="AC42" s="30"/>
      <c r="AD42" s="30"/>
      <c r="AE42" s="30"/>
      <c r="AF42" s="30"/>
      <c r="AG42" s="33"/>
      <c r="AH42" s="30"/>
      <c r="AI42" s="30"/>
      <c r="AJ42" s="30"/>
      <c r="AK42" s="30"/>
      <c r="AL42" s="33"/>
      <c r="AM42" s="30"/>
      <c r="AN42" s="30"/>
      <c r="AO42" s="30"/>
      <c r="AP42" s="30"/>
      <c r="AQ42" s="33"/>
      <c r="AR42" s="30"/>
      <c r="AS42" s="30"/>
      <c r="AT42" s="30"/>
      <c r="AU42" s="33"/>
      <c r="AV42" s="30"/>
      <c r="AW42" s="30"/>
      <c r="AX42" s="30"/>
      <c r="AY42" s="30"/>
      <c r="AZ42" s="30"/>
      <c r="BA42" s="30"/>
      <c r="BB42" s="30"/>
      <c r="BC42" s="30"/>
      <c r="BD42" s="33"/>
      <c r="BE42" s="30"/>
      <c r="BF42" s="30"/>
      <c r="BG42" s="30"/>
      <c r="BH42" s="30"/>
      <c r="BI42" s="33"/>
      <c r="BJ42" s="33"/>
      <c r="BK42" s="30"/>
      <c r="BL42" s="30"/>
      <c r="BM42" s="33"/>
      <c r="BN42" s="30"/>
      <c r="BO42" s="30"/>
    </row>
    <row r="43" spans="1:74" s="41" customFormat="1" ht="15" customHeight="1">
      <c r="A43" s="36"/>
      <c r="B43" s="33"/>
      <c r="C43" s="31"/>
      <c r="D43" s="31"/>
      <c r="E43" s="33"/>
      <c r="F43" s="40"/>
      <c r="G43" s="40"/>
      <c r="H43" s="30"/>
      <c r="I43" s="30"/>
      <c r="J43" s="30"/>
      <c r="K43" s="30"/>
      <c r="L43" s="33"/>
      <c r="M43" s="30"/>
      <c r="N43" s="30"/>
      <c r="O43" s="30"/>
      <c r="P43" s="30"/>
      <c r="Q43" s="33"/>
      <c r="R43" s="30"/>
      <c r="S43" s="30"/>
      <c r="T43" s="33"/>
      <c r="U43" s="30"/>
      <c r="V43" s="30"/>
      <c r="W43" s="30"/>
      <c r="X43" s="30"/>
      <c r="Y43" s="30"/>
      <c r="Z43" s="33"/>
      <c r="AA43" s="30"/>
      <c r="AB43" s="30"/>
      <c r="AC43" s="30"/>
      <c r="AD43" s="30"/>
      <c r="AE43" s="30"/>
      <c r="AF43" s="30"/>
      <c r="AG43" s="33"/>
      <c r="AH43" s="30"/>
      <c r="AI43" s="30"/>
      <c r="AJ43" s="30"/>
      <c r="AK43" s="30"/>
      <c r="AL43" s="33"/>
      <c r="AM43" s="30"/>
      <c r="AN43" s="30"/>
      <c r="AO43" s="30"/>
      <c r="AP43" s="30"/>
      <c r="AQ43" s="33"/>
      <c r="AR43" s="30"/>
      <c r="AS43" s="30"/>
      <c r="AT43" s="30"/>
      <c r="AU43" s="33"/>
      <c r="AV43" s="30"/>
      <c r="AW43" s="30"/>
      <c r="AX43" s="30"/>
      <c r="AY43" s="30"/>
      <c r="AZ43" s="30"/>
      <c r="BA43" s="30"/>
      <c r="BB43" s="30"/>
      <c r="BC43" s="30"/>
      <c r="BD43" s="33"/>
      <c r="BE43" s="30"/>
      <c r="BF43" s="30"/>
      <c r="BG43" s="30"/>
      <c r="BH43" s="30"/>
      <c r="BI43" s="33"/>
      <c r="BJ43" s="33"/>
      <c r="BK43" s="30"/>
      <c r="BL43" s="30"/>
      <c r="BM43" s="33"/>
      <c r="BN43" s="30"/>
      <c r="BO43" s="30"/>
    </row>
    <row r="44" spans="1:74" s="41" customFormat="1" ht="15" customHeight="1">
      <c r="A44" s="36"/>
      <c r="B44" s="33"/>
      <c r="C44" s="31"/>
      <c r="D44" s="31"/>
      <c r="E44" s="33"/>
      <c r="F44" s="40"/>
      <c r="G44" s="40"/>
      <c r="H44" s="30"/>
      <c r="I44" s="30"/>
      <c r="J44" s="30"/>
      <c r="K44" s="30"/>
      <c r="L44" s="33"/>
      <c r="M44" s="30"/>
      <c r="N44" s="30"/>
      <c r="O44" s="30"/>
      <c r="P44" s="30"/>
      <c r="Q44" s="33"/>
      <c r="R44" s="30"/>
      <c r="S44" s="30"/>
      <c r="T44" s="33"/>
      <c r="U44" s="30"/>
      <c r="V44" s="30"/>
      <c r="W44" s="30"/>
      <c r="X44" s="30"/>
      <c r="Y44" s="30"/>
      <c r="Z44" s="33"/>
      <c r="AA44" s="30"/>
      <c r="AB44" s="30"/>
      <c r="AC44" s="30"/>
      <c r="AD44" s="30"/>
      <c r="AE44" s="30"/>
      <c r="AF44" s="30"/>
      <c r="AG44" s="33"/>
      <c r="AH44" s="30"/>
      <c r="AI44" s="30"/>
      <c r="AJ44" s="30"/>
      <c r="AK44" s="30"/>
      <c r="AL44" s="33"/>
      <c r="AM44" s="30"/>
      <c r="AN44" s="30"/>
      <c r="AO44" s="30"/>
      <c r="AP44" s="30"/>
      <c r="AQ44" s="33"/>
      <c r="AR44" s="30"/>
      <c r="AS44" s="30"/>
      <c r="AT44" s="30"/>
      <c r="AU44" s="33"/>
      <c r="AV44" s="30"/>
      <c r="AW44" s="30"/>
      <c r="AX44" s="30"/>
      <c r="AY44" s="30"/>
      <c r="AZ44" s="30"/>
      <c r="BA44" s="30"/>
      <c r="BB44" s="30"/>
      <c r="BC44" s="30"/>
      <c r="BD44" s="33"/>
      <c r="BE44" s="30"/>
      <c r="BF44" s="30"/>
      <c r="BG44" s="30"/>
      <c r="BH44" s="30"/>
      <c r="BI44" s="33"/>
      <c r="BJ44" s="33"/>
      <c r="BK44" s="30"/>
      <c r="BL44" s="30"/>
      <c r="BM44" s="33"/>
      <c r="BN44" s="30"/>
      <c r="BO44" s="30"/>
    </row>
    <row r="45" spans="1:74" s="41" customFormat="1" ht="15" customHeight="1">
      <c r="A45" s="36"/>
      <c r="B45" s="33"/>
      <c r="C45" s="31"/>
      <c r="D45" s="31"/>
      <c r="E45" s="33"/>
      <c r="F45" s="40"/>
      <c r="G45" s="40"/>
      <c r="H45" s="30"/>
      <c r="I45" s="30"/>
      <c r="J45" s="30"/>
      <c r="K45" s="30"/>
      <c r="L45" s="33"/>
      <c r="M45" s="30"/>
      <c r="N45" s="30"/>
      <c r="O45" s="30"/>
      <c r="P45" s="30"/>
      <c r="Q45" s="33"/>
      <c r="R45" s="30"/>
      <c r="S45" s="30"/>
      <c r="T45" s="33"/>
      <c r="U45" s="30"/>
      <c r="V45" s="30"/>
      <c r="W45" s="30"/>
      <c r="X45" s="30"/>
      <c r="Y45" s="30"/>
      <c r="Z45" s="33"/>
      <c r="AA45" s="30"/>
      <c r="AB45" s="30"/>
      <c r="AC45" s="30"/>
      <c r="AD45" s="30"/>
      <c r="AE45" s="30"/>
      <c r="AF45" s="30"/>
      <c r="AG45" s="33"/>
      <c r="AH45" s="30"/>
      <c r="AI45" s="30"/>
      <c r="AJ45" s="30"/>
      <c r="AK45" s="30"/>
      <c r="AL45" s="33"/>
      <c r="AM45" s="30"/>
      <c r="AN45" s="30"/>
      <c r="AO45" s="30"/>
      <c r="AP45" s="30"/>
      <c r="AQ45" s="33"/>
      <c r="AR45" s="30"/>
      <c r="AS45" s="30"/>
      <c r="AT45" s="30"/>
      <c r="AU45" s="33"/>
      <c r="AV45" s="30"/>
      <c r="AW45" s="30"/>
      <c r="AX45" s="30"/>
      <c r="AY45" s="30"/>
      <c r="AZ45" s="30"/>
      <c r="BA45" s="30"/>
      <c r="BB45" s="30"/>
      <c r="BC45" s="30"/>
      <c r="BD45" s="33"/>
      <c r="BE45" s="30"/>
      <c r="BF45" s="30"/>
      <c r="BG45" s="30"/>
      <c r="BH45" s="30"/>
      <c r="BI45" s="33"/>
      <c r="BJ45" s="33"/>
      <c r="BK45" s="30"/>
      <c r="BL45" s="30"/>
      <c r="BM45" s="33"/>
      <c r="BN45" s="30"/>
      <c r="BO45" s="30"/>
    </row>
    <row r="46" spans="1:74" s="41" customFormat="1" ht="15" customHeight="1">
      <c r="A46" s="36"/>
      <c r="B46" s="33"/>
      <c r="C46" s="31"/>
      <c r="D46" s="31"/>
      <c r="E46" s="33"/>
      <c r="F46" s="40"/>
      <c r="G46" s="40"/>
      <c r="H46" s="30"/>
      <c r="I46" s="30"/>
      <c r="J46" s="30"/>
      <c r="K46" s="30"/>
      <c r="L46" s="33"/>
      <c r="M46" s="30"/>
      <c r="N46" s="30"/>
      <c r="O46" s="30"/>
      <c r="P46" s="30"/>
      <c r="Q46" s="33"/>
      <c r="R46" s="30"/>
      <c r="S46" s="30"/>
      <c r="T46" s="33"/>
      <c r="U46" s="30"/>
      <c r="V46" s="30"/>
      <c r="W46" s="30"/>
      <c r="X46" s="30"/>
      <c r="Y46" s="30"/>
      <c r="Z46" s="33"/>
      <c r="AA46" s="30"/>
      <c r="AB46" s="30"/>
      <c r="AC46" s="30"/>
      <c r="AD46" s="30"/>
      <c r="AE46" s="30"/>
      <c r="AF46" s="30"/>
      <c r="AG46" s="33"/>
      <c r="AH46" s="30"/>
      <c r="AI46" s="30"/>
      <c r="AJ46" s="30"/>
      <c r="AK46" s="30"/>
      <c r="AL46" s="33"/>
      <c r="AM46" s="30"/>
      <c r="AN46" s="30"/>
      <c r="AO46" s="30"/>
      <c r="AP46" s="30"/>
      <c r="AQ46" s="33"/>
      <c r="AR46" s="30"/>
      <c r="AS46" s="30"/>
      <c r="AT46" s="30"/>
      <c r="AU46" s="33"/>
      <c r="AV46" s="30"/>
      <c r="AW46" s="30"/>
      <c r="AX46" s="30"/>
      <c r="AY46" s="30"/>
      <c r="AZ46" s="30"/>
      <c r="BA46" s="30"/>
      <c r="BB46" s="30"/>
      <c r="BC46" s="30"/>
      <c r="BD46" s="33"/>
      <c r="BE46" s="30"/>
      <c r="BF46" s="30"/>
      <c r="BG46" s="30"/>
      <c r="BH46" s="30"/>
      <c r="BI46" s="33"/>
      <c r="BJ46" s="33"/>
      <c r="BK46" s="30"/>
      <c r="BL46" s="30"/>
      <c r="BM46" s="33"/>
      <c r="BN46" s="30"/>
      <c r="BO46" s="30"/>
    </row>
    <row r="47" spans="1:74" s="41" customFormat="1" ht="15" customHeight="1">
      <c r="A47" s="36"/>
      <c r="B47" s="33"/>
      <c r="C47" s="31"/>
      <c r="D47" s="31"/>
      <c r="E47" s="33"/>
      <c r="F47" s="40"/>
      <c r="G47" s="40"/>
      <c r="H47" s="30"/>
      <c r="I47" s="30"/>
      <c r="J47" s="30"/>
      <c r="K47" s="30"/>
      <c r="L47" s="33"/>
      <c r="M47" s="30"/>
      <c r="N47" s="30"/>
      <c r="O47" s="30"/>
      <c r="P47" s="30"/>
      <c r="Q47" s="33"/>
      <c r="R47" s="30"/>
      <c r="S47" s="30"/>
      <c r="T47" s="33"/>
      <c r="U47" s="30"/>
      <c r="V47" s="30"/>
      <c r="W47" s="30"/>
      <c r="X47" s="30"/>
      <c r="Y47" s="30"/>
      <c r="Z47" s="33"/>
      <c r="AA47" s="30"/>
      <c r="AB47" s="30"/>
      <c r="AC47" s="30"/>
      <c r="AD47" s="30"/>
      <c r="AE47" s="30"/>
      <c r="AF47" s="30"/>
      <c r="AG47" s="33"/>
      <c r="AH47" s="30"/>
      <c r="AI47" s="30"/>
      <c r="AJ47" s="30"/>
      <c r="AK47" s="30"/>
      <c r="AL47" s="33"/>
      <c r="AM47" s="30"/>
      <c r="AN47" s="30"/>
      <c r="AO47" s="30"/>
      <c r="AP47" s="30"/>
      <c r="AQ47" s="33"/>
      <c r="AR47" s="30"/>
      <c r="AS47" s="30"/>
      <c r="AT47" s="30"/>
      <c r="AU47" s="33"/>
      <c r="AV47" s="30"/>
      <c r="AW47" s="30"/>
      <c r="AX47" s="30"/>
      <c r="AY47" s="30"/>
      <c r="AZ47" s="30"/>
      <c r="BA47" s="30"/>
      <c r="BB47" s="30"/>
      <c r="BC47" s="30"/>
      <c r="BD47" s="33"/>
      <c r="BE47" s="30"/>
      <c r="BF47" s="30"/>
      <c r="BG47" s="30"/>
      <c r="BH47" s="30"/>
      <c r="BI47" s="33"/>
      <c r="BJ47" s="33"/>
      <c r="BK47" s="30"/>
      <c r="BL47" s="30"/>
      <c r="BM47" s="33"/>
      <c r="BN47" s="30"/>
      <c r="BO47" s="30"/>
    </row>
    <row r="48" spans="1:74" s="41" customFormat="1" ht="15" customHeight="1">
      <c r="A48" s="36"/>
      <c r="B48" s="33"/>
      <c r="C48" s="31"/>
      <c r="D48" s="31"/>
      <c r="E48" s="33"/>
      <c r="F48" s="40"/>
      <c r="G48" s="40"/>
      <c r="H48" s="30"/>
      <c r="I48" s="30"/>
      <c r="J48" s="30"/>
      <c r="K48" s="30"/>
      <c r="L48" s="33"/>
      <c r="M48" s="30"/>
      <c r="N48" s="30"/>
      <c r="O48" s="30"/>
      <c r="P48" s="30"/>
      <c r="Q48" s="33"/>
      <c r="R48" s="30"/>
      <c r="S48" s="30"/>
      <c r="T48" s="33"/>
      <c r="U48" s="30"/>
      <c r="V48" s="30"/>
      <c r="W48" s="30"/>
      <c r="X48" s="30"/>
      <c r="Y48" s="30"/>
      <c r="Z48" s="33"/>
      <c r="AA48" s="30"/>
      <c r="AB48" s="30"/>
      <c r="AC48" s="30"/>
      <c r="AD48" s="30"/>
      <c r="AE48" s="30"/>
      <c r="AF48" s="30"/>
      <c r="AG48" s="33"/>
      <c r="AH48" s="30"/>
      <c r="AI48" s="30"/>
      <c r="AJ48" s="30"/>
      <c r="AK48" s="30"/>
      <c r="AL48" s="33"/>
      <c r="AM48" s="30"/>
      <c r="AN48" s="30"/>
      <c r="AO48" s="30"/>
      <c r="AP48" s="30"/>
      <c r="AQ48" s="33"/>
      <c r="AR48" s="30"/>
      <c r="AS48" s="30"/>
      <c r="AT48" s="30"/>
      <c r="AU48" s="33"/>
      <c r="AV48" s="30"/>
      <c r="AW48" s="30"/>
      <c r="AX48" s="30"/>
      <c r="AY48" s="30"/>
      <c r="AZ48" s="30"/>
      <c r="BA48" s="30"/>
      <c r="BB48" s="30"/>
      <c r="BC48" s="30"/>
      <c r="BD48" s="33"/>
      <c r="BE48" s="30"/>
      <c r="BF48" s="30"/>
      <c r="BG48" s="30"/>
      <c r="BH48" s="30"/>
      <c r="BI48" s="33"/>
      <c r="BJ48" s="33"/>
      <c r="BK48" s="30"/>
      <c r="BL48" s="30"/>
      <c r="BM48" s="33"/>
      <c r="BN48" s="30"/>
      <c r="BO48" s="30"/>
    </row>
    <row r="49" spans="1:67" s="41" customFormat="1" ht="15" customHeight="1">
      <c r="A49" s="36"/>
      <c r="B49" s="33"/>
      <c r="C49" s="31"/>
      <c r="D49" s="31"/>
      <c r="E49" s="33"/>
      <c r="F49" s="40"/>
      <c r="G49" s="40"/>
      <c r="H49" s="30"/>
      <c r="I49" s="30"/>
      <c r="J49" s="30"/>
      <c r="K49" s="30"/>
      <c r="L49" s="33"/>
      <c r="M49" s="30"/>
      <c r="N49" s="30"/>
      <c r="O49" s="30"/>
      <c r="P49" s="30"/>
      <c r="Q49" s="33"/>
      <c r="R49" s="30"/>
      <c r="S49" s="30"/>
      <c r="T49" s="33"/>
      <c r="U49" s="30"/>
      <c r="V49" s="30"/>
      <c r="W49" s="30"/>
      <c r="X49" s="30"/>
      <c r="Y49" s="30"/>
      <c r="Z49" s="33"/>
      <c r="AA49" s="30"/>
      <c r="AB49" s="30"/>
      <c r="AC49" s="30"/>
      <c r="AD49" s="30"/>
      <c r="AE49" s="30"/>
      <c r="AF49" s="30"/>
      <c r="AG49" s="33"/>
      <c r="AH49" s="30"/>
      <c r="AI49" s="30"/>
      <c r="AJ49" s="30"/>
      <c r="AK49" s="30"/>
      <c r="AL49" s="33"/>
      <c r="AM49" s="30"/>
      <c r="AN49" s="30"/>
      <c r="AO49" s="30"/>
      <c r="AP49" s="30"/>
      <c r="AQ49" s="33"/>
      <c r="AR49" s="30"/>
      <c r="AS49" s="30"/>
      <c r="AT49" s="30"/>
      <c r="AU49" s="33"/>
      <c r="AV49" s="30"/>
      <c r="AW49" s="30"/>
      <c r="AX49" s="30"/>
      <c r="AY49" s="30"/>
      <c r="AZ49" s="30"/>
      <c r="BA49" s="30"/>
      <c r="BB49" s="30"/>
      <c r="BC49" s="30"/>
      <c r="BD49" s="33"/>
      <c r="BE49" s="30"/>
      <c r="BF49" s="30"/>
      <c r="BG49" s="30"/>
      <c r="BH49" s="30"/>
      <c r="BI49" s="33"/>
      <c r="BJ49" s="33"/>
      <c r="BK49" s="30"/>
      <c r="BL49" s="30"/>
      <c r="BM49" s="33"/>
      <c r="BN49" s="30"/>
      <c r="BO49" s="30"/>
    </row>
  </sheetData>
  <mergeCells count="79">
    <mergeCell ref="O9:O10"/>
    <mergeCell ref="AK9:AK10"/>
    <mergeCell ref="V9:V10"/>
    <mergeCell ref="W9:W10"/>
    <mergeCell ref="X9:X10"/>
    <mergeCell ref="Y9:Y10"/>
    <mergeCell ref="AA9:AA10"/>
    <mergeCell ref="AB9:AB10"/>
    <mergeCell ref="AE9:AE10"/>
    <mergeCell ref="AF9:AF10"/>
    <mergeCell ref="AH9:AH10"/>
    <mergeCell ref="AC9:AC10"/>
    <mergeCell ref="AJ9:AJ10"/>
    <mergeCell ref="AI9:AI10"/>
    <mergeCell ref="BM7:BO8"/>
    <mergeCell ref="AU7:BC8"/>
    <mergeCell ref="BK9:BK10"/>
    <mergeCell ref="AZ9:AZ10"/>
    <mergeCell ref="BL9:BL10"/>
    <mergeCell ref="BN9:BN10"/>
    <mergeCell ref="BO9:BO10"/>
    <mergeCell ref="BI9:BI10"/>
    <mergeCell ref="AW9:AW10"/>
    <mergeCell ref="AV9:AV10"/>
    <mergeCell ref="BD7:BI8"/>
    <mergeCell ref="M9:M10"/>
    <mergeCell ref="N9:N10"/>
    <mergeCell ref="P9:P10"/>
    <mergeCell ref="AQ7:AT8"/>
    <mergeCell ref="R9:R10"/>
    <mergeCell ref="S9:S10"/>
    <mergeCell ref="AG7:AK8"/>
    <mergeCell ref="AL7:AP8"/>
    <mergeCell ref="AM9:AM10"/>
    <mergeCell ref="AN9:AN10"/>
    <mergeCell ref="U9:U10"/>
    <mergeCell ref="AP9:AP10"/>
    <mergeCell ref="AR9:AR10"/>
    <mergeCell ref="AS9:AS10"/>
    <mergeCell ref="AT9:AT10"/>
    <mergeCell ref="AD9:AD10"/>
    <mergeCell ref="A9:A10"/>
    <mergeCell ref="E9:E10"/>
    <mergeCell ref="H7:K8"/>
    <mergeCell ref="B7:B8"/>
    <mergeCell ref="C7:C8"/>
    <mergeCell ref="I9:I10"/>
    <mergeCell ref="K9:K10"/>
    <mergeCell ref="F9:F10"/>
    <mergeCell ref="G9:G10"/>
    <mergeCell ref="B9:B10"/>
    <mergeCell ref="C9:C10"/>
    <mergeCell ref="D9:D10"/>
    <mergeCell ref="J9:J10"/>
    <mergeCell ref="L7:P8"/>
    <mergeCell ref="Q7:S8"/>
    <mergeCell ref="T7:Y8"/>
    <mergeCell ref="Z7:AF8"/>
    <mergeCell ref="A7:A8"/>
    <mergeCell ref="G7:G8"/>
    <mergeCell ref="D7:D8"/>
    <mergeCell ref="E7:E8"/>
    <mergeCell ref="F7:F8"/>
    <mergeCell ref="AO9:AO10"/>
    <mergeCell ref="BA9:BA10"/>
    <mergeCell ref="BB9:BB10"/>
    <mergeCell ref="BP7:BT8"/>
    <mergeCell ref="BQ9:BQ10"/>
    <mergeCell ref="BR9:BR10"/>
    <mergeCell ref="BS9:BS10"/>
    <mergeCell ref="BT9:BT10"/>
    <mergeCell ref="BJ7:BL8"/>
    <mergeCell ref="AX9:AX10"/>
    <mergeCell ref="AY9:AY10"/>
    <mergeCell ref="BE9:BE10"/>
    <mergeCell ref="BF9:BF10"/>
    <mergeCell ref="BG9:BG10"/>
    <mergeCell ref="BH9:BH10"/>
    <mergeCell ref="BC9:BC10"/>
  </mergeCells>
  <phoneticPr fontId="3" type="noConversion"/>
  <pageMargins left="0.32" right="0.23" top="1" bottom="1" header="0.5" footer="0.5"/>
  <pageSetup paperSize="9" scale="72" orientation="landscape" r:id="rId1"/>
  <headerFooter alignWithMargins="0"/>
  <ignoredErrors>
    <ignoredError sqref="BC10:BO10 BC7:BO8 H7:I8 I9:I10 BD9:BO9 L9:N9 K7:N8 K10:N10 Q9:AH9 P7:AH8 P10:AH10 AL9:AN9 AJ7:AN8 AK10:AN10 AQ9:AZ9 AP7:AZ8 AP10:AZ10 BW10:BX10 BW9:BX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B37"/>
  <sheetViews>
    <sheetView workbookViewId="0"/>
  </sheetViews>
  <sheetFormatPr defaultColWidth="9.26953125" defaultRowHeight="13"/>
  <cols>
    <col min="1" max="1" width="39" style="15" customWidth="1"/>
    <col min="2" max="2" width="45.453125" style="48" customWidth="1"/>
    <col min="3" max="16384" width="9.26953125" style="14"/>
  </cols>
  <sheetData>
    <row r="2" spans="1:2" ht="12.5">
      <c r="A2" s="13" t="s">
        <v>0</v>
      </c>
    </row>
    <row r="3" spans="1:2" thickBot="1">
      <c r="A3" s="14"/>
    </row>
    <row r="4" spans="1:2" thickTop="1">
      <c r="A4" s="45" t="s">
        <v>1</v>
      </c>
      <c r="B4" s="34" t="s">
        <v>84</v>
      </c>
    </row>
    <row r="5" spans="1:2" ht="12.5">
      <c r="A5" s="43" t="s">
        <v>2</v>
      </c>
      <c r="B5" s="47" t="s">
        <v>86</v>
      </c>
    </row>
    <row r="6" spans="1:2" ht="12.5">
      <c r="A6" s="43" t="s">
        <v>3</v>
      </c>
      <c r="B6" s="47">
        <v>1995</v>
      </c>
    </row>
    <row r="7" spans="1:2" ht="12.5">
      <c r="A7" s="43" t="s">
        <v>4</v>
      </c>
      <c r="B7" s="37" t="s">
        <v>247</v>
      </c>
    </row>
    <row r="8" spans="1:2" ht="12.5">
      <c r="A8" s="43" t="s">
        <v>5</v>
      </c>
      <c r="B8" s="47" t="s">
        <v>145</v>
      </c>
    </row>
    <row r="9" spans="1:2" ht="12.5">
      <c r="A9" s="43" t="s">
        <v>6</v>
      </c>
      <c r="B9" s="42">
        <v>6</v>
      </c>
    </row>
    <row r="10" spans="1:2" ht="12.5">
      <c r="A10" s="43" t="s">
        <v>7</v>
      </c>
      <c r="B10" s="42" t="s">
        <v>225</v>
      </c>
    </row>
    <row r="11" spans="1:2" ht="12.5">
      <c r="A11" s="43" t="s">
        <v>146</v>
      </c>
      <c r="B11" s="37" t="s">
        <v>248</v>
      </c>
    </row>
    <row r="12" spans="1:2" ht="12.5">
      <c r="A12" s="43" t="s">
        <v>147</v>
      </c>
      <c r="B12" s="32" t="s">
        <v>150</v>
      </c>
    </row>
    <row r="13" spans="1:2" ht="12.5">
      <c r="A13" s="43" t="s">
        <v>8</v>
      </c>
      <c r="B13" s="46" t="s">
        <v>153</v>
      </c>
    </row>
    <row r="14" spans="1:2" thickBot="1">
      <c r="A14" s="44"/>
      <c r="B14" s="35"/>
    </row>
    <row r="15" spans="1:2" thickTop="1">
      <c r="A15" s="13"/>
    </row>
    <row r="16" spans="1:2" ht="12.5">
      <c r="A16" s="13" t="s">
        <v>88</v>
      </c>
    </row>
    <row r="17" spans="1:2" thickBot="1">
      <c r="A17" s="14"/>
    </row>
    <row r="18" spans="1:2" thickTop="1">
      <c r="A18" s="45" t="s">
        <v>89</v>
      </c>
      <c r="B18" s="34" t="s">
        <v>99</v>
      </c>
    </row>
    <row r="19" spans="1:2" ht="12.5">
      <c r="A19" s="43" t="s">
        <v>90</v>
      </c>
      <c r="B19" s="47" t="s">
        <v>100</v>
      </c>
    </row>
    <row r="20" spans="1:2" ht="12.5">
      <c r="A20" s="43" t="s">
        <v>91</v>
      </c>
      <c r="B20" s="47">
        <v>1995</v>
      </c>
    </row>
    <row r="21" spans="1:2" ht="12.5">
      <c r="A21" s="43" t="s">
        <v>92</v>
      </c>
      <c r="B21" s="37" t="s">
        <v>247</v>
      </c>
    </row>
    <row r="22" spans="1:2" ht="12.5">
      <c r="A22" s="43" t="s">
        <v>93</v>
      </c>
      <c r="B22" s="37" t="s">
        <v>145</v>
      </c>
    </row>
    <row r="23" spans="1:2" ht="12.5">
      <c r="A23" s="43" t="s">
        <v>94</v>
      </c>
      <c r="B23" s="47">
        <v>6</v>
      </c>
    </row>
    <row r="24" spans="1:2" ht="12.5">
      <c r="A24" s="43" t="s">
        <v>95</v>
      </c>
      <c r="B24" s="42" t="s">
        <v>225</v>
      </c>
    </row>
    <row r="25" spans="1:2" ht="12.5">
      <c r="A25" s="43" t="s">
        <v>96</v>
      </c>
      <c r="B25" s="37" t="s">
        <v>248</v>
      </c>
    </row>
    <row r="26" spans="1:2" ht="12.5">
      <c r="A26" s="43" t="s">
        <v>97</v>
      </c>
      <c r="B26" s="38" t="s">
        <v>151</v>
      </c>
    </row>
    <row r="27" spans="1:2" ht="12.5">
      <c r="A27" s="43" t="s">
        <v>98</v>
      </c>
      <c r="B27" s="46" t="s">
        <v>154</v>
      </c>
    </row>
    <row r="28" spans="1:2" thickBot="1">
      <c r="A28" s="44"/>
      <c r="B28" s="35"/>
    </row>
    <row r="29" spans="1:2" ht="13.5" thickTop="1"/>
    <row r="32" spans="1:2" ht="12.5">
      <c r="A32" s="2"/>
    </row>
    <row r="37" spans="1:1" ht="12.5">
      <c r="A37" s="16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D70"/>
  <sheetViews>
    <sheetView workbookViewId="0"/>
  </sheetViews>
  <sheetFormatPr defaultColWidth="9.26953125" defaultRowHeight="12.5"/>
  <cols>
    <col min="1" max="1" width="12" style="17" customWidth="1"/>
    <col min="2" max="2" width="77.453125" style="17" customWidth="1"/>
    <col min="3" max="3" width="59.453125" style="17" bestFit="1" customWidth="1"/>
    <col min="4" max="16384" width="9.26953125" style="17"/>
  </cols>
  <sheetData>
    <row r="2" spans="1:3">
      <c r="A2" s="28" t="s">
        <v>226</v>
      </c>
    </row>
    <row r="3" spans="1:3" s="20" customFormat="1">
      <c r="A3" s="21" t="s">
        <v>143</v>
      </c>
      <c r="B3" s="22" t="s">
        <v>133</v>
      </c>
      <c r="C3" s="22" t="s">
        <v>134</v>
      </c>
    </row>
    <row r="4" spans="1:3">
      <c r="A4" s="23" t="s">
        <v>9</v>
      </c>
      <c r="B4" s="23" t="s">
        <v>10</v>
      </c>
      <c r="C4" s="23" t="s">
        <v>101</v>
      </c>
    </row>
    <row r="5" spans="1:3">
      <c r="A5" s="24" t="s">
        <v>11</v>
      </c>
      <c r="B5" s="24" t="s">
        <v>12</v>
      </c>
      <c r="C5" s="24" t="s">
        <v>102</v>
      </c>
    </row>
    <row r="6" spans="1:3">
      <c r="A6" s="24" t="s">
        <v>13</v>
      </c>
      <c r="B6" s="24" t="s">
        <v>14</v>
      </c>
      <c r="C6" s="24" t="s">
        <v>103</v>
      </c>
    </row>
    <row r="7" spans="1:3">
      <c r="A7" s="24" t="s">
        <v>162</v>
      </c>
      <c r="B7" s="24" t="s">
        <v>227</v>
      </c>
      <c r="C7" s="24" t="s">
        <v>197</v>
      </c>
    </row>
    <row r="8" spans="1:3">
      <c r="A8" s="25" t="s">
        <v>15</v>
      </c>
      <c r="B8" s="25" t="s">
        <v>16</v>
      </c>
      <c r="C8" s="25" t="s">
        <v>104</v>
      </c>
    </row>
    <row r="9" spans="1:3">
      <c r="A9" s="24" t="s">
        <v>17</v>
      </c>
      <c r="B9" s="24" t="s">
        <v>18</v>
      </c>
      <c r="C9" s="24" t="s">
        <v>105</v>
      </c>
    </row>
    <row r="10" spans="1:3" ht="13.15" customHeight="1">
      <c r="A10" s="24" t="s">
        <v>19</v>
      </c>
      <c r="B10" s="24" t="s">
        <v>163</v>
      </c>
      <c r="C10" s="24" t="s">
        <v>198</v>
      </c>
    </row>
    <row r="11" spans="1:3">
      <c r="A11" s="24" t="s">
        <v>21</v>
      </c>
      <c r="B11" s="24" t="s">
        <v>20</v>
      </c>
      <c r="C11" s="24" t="s">
        <v>106</v>
      </c>
    </row>
    <row r="12" spans="1:3">
      <c r="A12" s="24" t="s">
        <v>164</v>
      </c>
      <c r="B12" s="24" t="s">
        <v>22</v>
      </c>
      <c r="C12" s="24" t="s">
        <v>107</v>
      </c>
    </row>
    <row r="13" spans="1:3">
      <c r="A13" s="25" t="s">
        <v>23</v>
      </c>
      <c r="B13" s="25" t="s">
        <v>24</v>
      </c>
      <c r="C13" s="25" t="s">
        <v>108</v>
      </c>
    </row>
    <row r="14" spans="1:3">
      <c r="A14" s="24" t="s">
        <v>25</v>
      </c>
      <c r="B14" s="24" t="s">
        <v>26</v>
      </c>
      <c r="C14" s="24" t="s">
        <v>109</v>
      </c>
    </row>
    <row r="15" spans="1:3">
      <c r="A15" s="24" t="s">
        <v>27</v>
      </c>
      <c r="B15" s="24" t="s">
        <v>28</v>
      </c>
      <c r="C15" s="24" t="s">
        <v>110</v>
      </c>
    </row>
    <row r="16" spans="1:3">
      <c r="A16" s="25" t="s">
        <v>29</v>
      </c>
      <c r="B16" s="25" t="s">
        <v>148</v>
      </c>
      <c r="C16" s="25" t="s">
        <v>111</v>
      </c>
    </row>
    <row r="17" spans="1:3">
      <c r="A17" s="24" t="s">
        <v>30</v>
      </c>
      <c r="B17" s="24" t="s">
        <v>228</v>
      </c>
      <c r="C17" s="24" t="s">
        <v>199</v>
      </c>
    </row>
    <row r="18" spans="1:3">
      <c r="A18" s="24" t="s">
        <v>31</v>
      </c>
      <c r="B18" s="24" t="s">
        <v>229</v>
      </c>
      <c r="C18" s="24" t="s">
        <v>200</v>
      </c>
    </row>
    <row r="19" spans="1:3">
      <c r="A19" s="24" t="s">
        <v>32</v>
      </c>
      <c r="B19" s="24" t="s">
        <v>230</v>
      </c>
      <c r="C19" s="24" t="s">
        <v>201</v>
      </c>
    </row>
    <row r="20" spans="1:3">
      <c r="A20" s="24" t="s">
        <v>33</v>
      </c>
      <c r="B20" s="24" t="s">
        <v>165</v>
      </c>
      <c r="C20" s="24" t="s">
        <v>112</v>
      </c>
    </row>
    <row r="21" spans="1:3">
      <c r="A21" s="24" t="s">
        <v>34</v>
      </c>
      <c r="B21" s="24" t="s">
        <v>149</v>
      </c>
      <c r="C21" s="24" t="s">
        <v>113</v>
      </c>
    </row>
    <row r="22" spans="1:3">
      <c r="A22" s="25" t="s">
        <v>35</v>
      </c>
      <c r="B22" s="25" t="s">
        <v>231</v>
      </c>
      <c r="C22" s="25" t="s">
        <v>114</v>
      </c>
    </row>
    <row r="23" spans="1:3">
      <c r="A23" s="24" t="s">
        <v>36</v>
      </c>
      <c r="B23" s="24" t="s">
        <v>232</v>
      </c>
      <c r="C23" s="24" t="s">
        <v>202</v>
      </c>
    </row>
    <row r="24" spans="1:3">
      <c r="A24" s="24" t="s">
        <v>37</v>
      </c>
      <c r="B24" s="24" t="s">
        <v>38</v>
      </c>
      <c r="C24" s="24" t="s">
        <v>115</v>
      </c>
    </row>
    <row r="25" spans="1:3">
      <c r="A25" s="24" t="s">
        <v>39</v>
      </c>
      <c r="B25" s="24" t="s">
        <v>166</v>
      </c>
      <c r="C25" s="24" t="s">
        <v>116</v>
      </c>
    </row>
    <row r="26" spans="1:3">
      <c r="A26" s="24" t="s">
        <v>40</v>
      </c>
      <c r="B26" s="24" t="s">
        <v>167</v>
      </c>
      <c r="C26" s="24" t="s">
        <v>117</v>
      </c>
    </row>
    <row r="27" spans="1:3">
      <c r="A27" s="24" t="s">
        <v>41</v>
      </c>
      <c r="B27" s="24" t="s">
        <v>42</v>
      </c>
      <c r="C27" s="24" t="s">
        <v>118</v>
      </c>
    </row>
    <row r="28" spans="1:3">
      <c r="A28" s="24" t="s">
        <v>43</v>
      </c>
      <c r="B28" s="24" t="s">
        <v>44</v>
      </c>
      <c r="C28" s="24" t="s">
        <v>119</v>
      </c>
    </row>
    <row r="29" spans="1:3">
      <c r="A29" s="25" t="s">
        <v>45</v>
      </c>
      <c r="B29" s="25" t="s">
        <v>46</v>
      </c>
      <c r="C29" s="25" t="s">
        <v>120</v>
      </c>
    </row>
    <row r="30" spans="1:3">
      <c r="A30" s="24" t="s">
        <v>47</v>
      </c>
      <c r="B30" s="24" t="s">
        <v>168</v>
      </c>
      <c r="C30" s="24" t="s">
        <v>203</v>
      </c>
    </row>
    <row r="31" spans="1:3">
      <c r="A31" s="24" t="s">
        <v>48</v>
      </c>
      <c r="B31" s="24" t="s">
        <v>233</v>
      </c>
      <c r="C31" s="24" t="s">
        <v>204</v>
      </c>
    </row>
    <row r="32" spans="1:3">
      <c r="A32" s="24" t="s">
        <v>49</v>
      </c>
      <c r="B32" s="24" t="s">
        <v>234</v>
      </c>
      <c r="C32" s="24" t="s">
        <v>205</v>
      </c>
    </row>
    <row r="33" spans="1:3">
      <c r="A33" s="24" t="s">
        <v>169</v>
      </c>
      <c r="B33" s="24" t="s">
        <v>170</v>
      </c>
      <c r="C33" s="24" t="s">
        <v>206</v>
      </c>
    </row>
    <row r="34" spans="1:3">
      <c r="A34" s="25" t="s">
        <v>50</v>
      </c>
      <c r="B34" s="25" t="s">
        <v>51</v>
      </c>
      <c r="C34" s="25" t="s">
        <v>121</v>
      </c>
    </row>
    <row r="35" spans="1:3">
      <c r="A35" s="24" t="s">
        <v>52</v>
      </c>
      <c r="B35" s="24" t="s">
        <v>53</v>
      </c>
      <c r="C35" s="24" t="s">
        <v>122</v>
      </c>
    </row>
    <row r="36" spans="1:3">
      <c r="A36" s="24" t="s">
        <v>54</v>
      </c>
      <c r="B36" s="24" t="s">
        <v>171</v>
      </c>
      <c r="C36" s="24" t="s">
        <v>123</v>
      </c>
    </row>
    <row r="37" spans="1:3">
      <c r="A37" s="24" t="s">
        <v>55</v>
      </c>
      <c r="B37" s="24" t="s">
        <v>172</v>
      </c>
      <c r="C37" s="24" t="s">
        <v>207</v>
      </c>
    </row>
    <row r="38" spans="1:3">
      <c r="A38" s="24" t="s">
        <v>173</v>
      </c>
      <c r="B38" s="24" t="s">
        <v>235</v>
      </c>
      <c r="C38" s="24" t="s">
        <v>208</v>
      </c>
    </row>
    <row r="39" spans="1:3">
      <c r="A39" s="25" t="s">
        <v>56</v>
      </c>
      <c r="B39" s="25" t="s">
        <v>174</v>
      </c>
      <c r="C39" s="25" t="s">
        <v>191</v>
      </c>
    </row>
    <row r="40" spans="1:3">
      <c r="A40" s="24" t="s">
        <v>57</v>
      </c>
      <c r="B40" s="24" t="s">
        <v>175</v>
      </c>
      <c r="C40" s="24" t="s">
        <v>209</v>
      </c>
    </row>
    <row r="41" spans="1:3">
      <c r="A41" s="24" t="s">
        <v>58</v>
      </c>
      <c r="B41" s="24" t="s">
        <v>236</v>
      </c>
      <c r="C41" s="24" t="s">
        <v>210</v>
      </c>
    </row>
    <row r="42" spans="1:3">
      <c r="A42" s="24" t="s">
        <v>59</v>
      </c>
      <c r="B42" s="24" t="s">
        <v>176</v>
      </c>
      <c r="C42" s="24" t="s">
        <v>211</v>
      </c>
    </row>
    <row r="43" spans="1:3">
      <c r="A43" s="25" t="s">
        <v>60</v>
      </c>
      <c r="B43" s="25" t="s">
        <v>177</v>
      </c>
      <c r="C43" s="25" t="s">
        <v>192</v>
      </c>
    </row>
    <row r="44" spans="1:3">
      <c r="A44" s="24" t="s">
        <v>61</v>
      </c>
      <c r="B44" s="24" t="s">
        <v>237</v>
      </c>
      <c r="C44" s="24" t="s">
        <v>212</v>
      </c>
    </row>
    <row r="45" spans="1:3">
      <c r="A45" s="24" t="s">
        <v>62</v>
      </c>
      <c r="B45" s="24" t="s">
        <v>238</v>
      </c>
      <c r="C45" s="24" t="s">
        <v>213</v>
      </c>
    </row>
    <row r="46" spans="1:3">
      <c r="A46" s="24" t="s">
        <v>63</v>
      </c>
      <c r="B46" s="24" t="s">
        <v>239</v>
      </c>
      <c r="C46" s="24" t="s">
        <v>214</v>
      </c>
    </row>
    <row r="47" spans="1:3">
      <c r="A47" s="24" t="s">
        <v>64</v>
      </c>
      <c r="B47" s="24" t="s">
        <v>178</v>
      </c>
      <c r="C47" s="24" t="s">
        <v>215</v>
      </c>
    </row>
    <row r="48" spans="1:3">
      <c r="A48" s="24" t="s">
        <v>65</v>
      </c>
      <c r="B48" s="24" t="s">
        <v>179</v>
      </c>
      <c r="C48" s="24" t="s">
        <v>216</v>
      </c>
    </row>
    <row r="49" spans="1:3">
      <c r="A49" s="24" t="s">
        <v>67</v>
      </c>
      <c r="B49" s="24" t="s">
        <v>180</v>
      </c>
      <c r="C49" s="24" t="s">
        <v>217</v>
      </c>
    </row>
    <row r="50" spans="1:3">
      <c r="A50" s="24" t="s">
        <v>181</v>
      </c>
      <c r="B50" s="24" t="s">
        <v>66</v>
      </c>
      <c r="C50" s="24" t="s">
        <v>124</v>
      </c>
    </row>
    <row r="51" spans="1:3">
      <c r="A51" s="24" t="s">
        <v>182</v>
      </c>
      <c r="B51" s="24" t="s">
        <v>68</v>
      </c>
      <c r="C51" s="24" t="s">
        <v>125</v>
      </c>
    </row>
    <row r="52" spans="1:3">
      <c r="A52" s="26">
        <v>10</v>
      </c>
      <c r="B52" s="25" t="s">
        <v>183</v>
      </c>
      <c r="C52" s="25" t="s">
        <v>193</v>
      </c>
    </row>
    <row r="53" spans="1:3">
      <c r="A53" s="24" t="s">
        <v>69</v>
      </c>
      <c r="B53" s="24" t="s">
        <v>240</v>
      </c>
      <c r="C53" s="24" t="s">
        <v>218</v>
      </c>
    </row>
    <row r="54" spans="1:3">
      <c r="A54" s="24" t="s">
        <v>70</v>
      </c>
      <c r="B54" s="24" t="s">
        <v>184</v>
      </c>
      <c r="C54" s="24" t="s">
        <v>126</v>
      </c>
    </row>
    <row r="55" spans="1:3">
      <c r="A55" s="24" t="s">
        <v>71</v>
      </c>
      <c r="B55" s="24" t="s">
        <v>72</v>
      </c>
      <c r="C55" s="24" t="s">
        <v>127</v>
      </c>
    </row>
    <row r="56" spans="1:3">
      <c r="A56" s="24" t="s">
        <v>73</v>
      </c>
      <c r="B56" s="24" t="s">
        <v>74</v>
      </c>
      <c r="C56" s="24" t="s">
        <v>128</v>
      </c>
    </row>
    <row r="57" spans="1:3">
      <c r="A57" s="24" t="s">
        <v>75</v>
      </c>
      <c r="B57" s="24" t="s">
        <v>241</v>
      </c>
      <c r="C57" s="24" t="s">
        <v>219</v>
      </c>
    </row>
    <row r="58" spans="1:3">
      <c r="A58" s="26">
        <v>11</v>
      </c>
      <c r="B58" s="25" t="s">
        <v>185</v>
      </c>
      <c r="C58" s="25" t="s">
        <v>194</v>
      </c>
    </row>
    <row r="59" spans="1:3">
      <c r="A59" s="24" t="s">
        <v>76</v>
      </c>
      <c r="B59" s="24" t="s">
        <v>242</v>
      </c>
      <c r="C59" s="24" t="s">
        <v>220</v>
      </c>
    </row>
    <row r="60" spans="1:3">
      <c r="A60" s="24" t="s">
        <v>77</v>
      </c>
      <c r="B60" s="24" t="s">
        <v>78</v>
      </c>
      <c r="C60" s="24" t="s">
        <v>129</v>
      </c>
    </row>
    <row r="61" spans="1:3">
      <c r="A61" s="26">
        <v>12</v>
      </c>
      <c r="B61" s="25" t="s">
        <v>243</v>
      </c>
      <c r="C61" s="25" t="s">
        <v>195</v>
      </c>
    </row>
    <row r="62" spans="1:3">
      <c r="A62" s="24" t="s">
        <v>79</v>
      </c>
      <c r="B62" s="24" t="s">
        <v>82</v>
      </c>
      <c r="C62" s="24" t="s">
        <v>132</v>
      </c>
    </row>
    <row r="63" spans="1:3">
      <c r="A63" s="24" t="s">
        <v>81</v>
      </c>
      <c r="B63" s="24" t="s">
        <v>186</v>
      </c>
      <c r="C63" s="24" t="s">
        <v>221</v>
      </c>
    </row>
    <row r="64" spans="1:3">
      <c r="A64" s="26">
        <v>13</v>
      </c>
      <c r="B64" s="25" t="s">
        <v>244</v>
      </c>
      <c r="C64" s="25" t="s">
        <v>196</v>
      </c>
    </row>
    <row r="65" spans="1:4">
      <c r="A65" s="24" t="s">
        <v>187</v>
      </c>
      <c r="B65" s="24" t="s">
        <v>80</v>
      </c>
      <c r="C65" s="24" t="s">
        <v>130</v>
      </c>
    </row>
    <row r="66" spans="1:4">
      <c r="A66" s="24" t="s">
        <v>188</v>
      </c>
      <c r="B66" s="24" t="s">
        <v>245</v>
      </c>
      <c r="C66" s="24" t="s">
        <v>222</v>
      </c>
    </row>
    <row r="67" spans="1:4">
      <c r="A67" s="24" t="s">
        <v>189</v>
      </c>
      <c r="B67" s="24" t="s">
        <v>152</v>
      </c>
      <c r="C67" s="24" t="s">
        <v>131</v>
      </c>
    </row>
    <row r="68" spans="1:4">
      <c r="A68" s="27" t="s">
        <v>190</v>
      </c>
      <c r="B68" s="27" t="s">
        <v>246</v>
      </c>
      <c r="C68" s="27" t="s">
        <v>223</v>
      </c>
    </row>
    <row r="69" spans="1:4">
      <c r="A69" s="18"/>
      <c r="C69" s="19"/>
      <c r="D69" s="19"/>
    </row>
    <row r="70" spans="1:4">
      <c r="A70" s="18"/>
      <c r="C70" s="19"/>
      <c r="D70" s="19"/>
    </row>
  </sheetData>
  <phoneticPr fontId="3" type="noConversion"/>
  <pageMargins left="0.75" right="0.75" top="1" bottom="1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Quadro A.1.1.1.1</vt:lpstr>
      <vt:lpstr>Metainfo</vt:lpstr>
      <vt:lpstr>COICOP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Ana Carmona</cp:lastModifiedBy>
  <cp:lastPrinted>2011-01-04T15:32:26Z</cp:lastPrinted>
  <dcterms:created xsi:type="dcterms:W3CDTF">2010-02-25T19:15:23Z</dcterms:created>
  <dcterms:modified xsi:type="dcterms:W3CDTF">2026-02-26T14:03:58Z</dcterms:modified>
</cp:coreProperties>
</file>